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IOOF\Finance\Accounting\FP&amp;A\Results Announcement\1H23\Investor and Analyst PAck\"/>
    </mc:Choice>
  </mc:AlternateContent>
  <xr:revisionPtr revIDLastSave="0" documentId="13_ncr:1_{F61C9EC0-AF8C-4D21-B9B2-CB4C954EA3D1}" xr6:coauthVersionLast="47" xr6:coauthVersionMax="47" xr10:uidLastSave="{00000000-0000-0000-0000-000000000000}"/>
  <bookViews>
    <workbookView xWindow="17370" yWindow="-16320" windowWidth="29040" windowHeight="15720" tabRatio="779" xr2:uid="{E3F1F4D6-3DF4-4ED8-BA7E-B5777534E4DA}"/>
  </bookViews>
  <sheets>
    <sheet name="Disclaimer" sheetId="1" r:id="rId1"/>
    <sheet name="Group Result" sheetId="2" r:id="rId2"/>
    <sheet name="Advice" sheetId="3" r:id="rId3"/>
    <sheet name="Platforms" sheetId="4" r:id="rId4"/>
    <sheet name="Asset Management" sheetId="5" r:id="rId5"/>
    <sheet name="Corporate" sheetId="6" r:id="rId6"/>
    <sheet name="Disc Ops" sheetId="7" r:id="rId7"/>
    <sheet name="FUMA" sheetId="8" r:id="rId8"/>
    <sheet name="Remediation" sheetId="9" r:id="rId9"/>
    <sheet name="UNPAT" sheetId="10" r:id="rId10"/>
    <sheet name="Balance Sheet" sheetId="11" r:id="rId11"/>
    <sheet name="Cash Flows" sheetId="12" r:id="rId12"/>
    <sheet name="Debt" sheetId="13" r:id="rId13"/>
    <sheet name="Asset Allocation" sheetId="14" r:id="rId14"/>
    <sheet name="Ratios" sheetId="15" r:id="rId15"/>
  </sheets>
  <externalReferences>
    <externalReference r:id="rId16"/>
    <externalReference r:id="rId17"/>
    <externalReference r:id="rId18"/>
    <externalReference r:id="rId19"/>
    <externalReference r:id="rId20"/>
    <externalReference r:id="rId21"/>
    <externalReference r:id="rId22"/>
  </externalReferences>
  <definedNames>
    <definedName name="______ra1" hidden="1">{#N/A,#N/A,FALSE,"SP-Intgrp";#N/A,#N/A,FALSE,"SP-Intaus";#N/A,#N/A,FALSE,"SP-IntNZ";#N/A,#N/A,FALSE,"SP-IntInt";#N/A,#N/A,FALSE,"SP-feegrp";#N/A,#N/A,FALSE,"SP-FeeAus";#N/A,#N/A,FALSE,"SP-feeNZ";#N/A,#N/A,FALSE,"SP-FeeInt"}</definedName>
    <definedName name="_____ra1" hidden="1">{#N/A,#N/A,FALSE,"SP-Intgrp";#N/A,#N/A,FALSE,"SP-Intaus";#N/A,#N/A,FALSE,"SP-IntNZ";#N/A,#N/A,FALSE,"SP-IntInt";#N/A,#N/A,FALSE,"SP-feegrp";#N/A,#N/A,FALSE,"SP-FeeAus";#N/A,#N/A,FALSE,"SP-feeNZ";#N/A,#N/A,FALSE,"SP-FeeInt"}</definedName>
    <definedName name="____ra1" hidden="1">{#N/A,#N/A,FALSE,"SP-Intgrp";#N/A,#N/A,FALSE,"SP-Intaus";#N/A,#N/A,FALSE,"SP-IntNZ";#N/A,#N/A,FALSE,"SP-IntInt";#N/A,#N/A,FALSE,"SP-feegrp";#N/A,#N/A,FALSE,"SP-FeeAus";#N/A,#N/A,FALSE,"SP-feeNZ";#N/A,#N/A,FALSE,"SP-FeeInt"}</definedName>
    <definedName name="___ra1" hidden="1">{#N/A,#N/A,FALSE,"SP-Intgrp";#N/A,#N/A,FALSE,"SP-Intaus";#N/A,#N/A,FALSE,"SP-IntNZ";#N/A,#N/A,FALSE,"SP-IntInt";#N/A,#N/A,FALSE,"SP-feegrp";#N/A,#N/A,FALSE,"SP-FeeAus";#N/A,#N/A,FALSE,"SP-feeNZ";#N/A,#N/A,FALSE,"SP-FeeInt"}</definedName>
    <definedName name="__123Graph_AINDEX" hidden="1">[1]INDEX!$F$15:$F$23</definedName>
    <definedName name="__123Graph_B" hidden="1">[1]INDEX!$G$15:$G$27</definedName>
    <definedName name="__123Graph_BINDEX" hidden="1">[1]INDEX!$G$15:$G$23</definedName>
    <definedName name="__123Graph_C" hidden="1">[1]INDEX!$H$15:$H$27</definedName>
    <definedName name="__123Graph_CINDEX" hidden="1">[1]INDEX!$H$15:$H$23</definedName>
    <definedName name="__123Graph_XINDEX" hidden="1">[1]INDEX!$A$15:$A$23</definedName>
    <definedName name="__APW_RESTORE_DATA1036__" hidden="1">#REF!</definedName>
    <definedName name="__APW_RESTORE_DATA1037__" hidden="1">#REF!</definedName>
    <definedName name="__APW_RESTORE_DATA1038__" hidden="1">#REF!</definedName>
    <definedName name="__APW_RESTORE_DATA1039__" hidden="1">#REF!</definedName>
    <definedName name="__APW_RESTORE_DATA1040__" hidden="1">#REF!</definedName>
    <definedName name="__APW_RESTORE_DATA1041__" hidden="1">#REF!</definedName>
    <definedName name="__APW_RESTORE_DATA1042__" hidden="1">#REF!</definedName>
    <definedName name="__APW_RESTORE_DATA1043__" hidden="1">#REF!</definedName>
    <definedName name="__APW_RESTORE_DATA1044__" hidden="1">#REF!</definedName>
    <definedName name="__APW_RESTORE_DATA1045__" hidden="1">#REF!</definedName>
    <definedName name="__APW_RESTORE_DATA1046__" hidden="1">#REF!</definedName>
    <definedName name="__APW_RESTORE_DATA1047__" hidden="1">#REF!</definedName>
    <definedName name="__APW_RESTORE_DATA1048__" hidden="1">#REF!</definedName>
    <definedName name="__APW_RESTORE_DATA1049__" hidden="1">#REF!</definedName>
    <definedName name="__APW_RESTORE_DATA1050__" hidden="1">#REF!</definedName>
    <definedName name="__APW_RESTORE_DATA1051__" hidden="1">#REF!</definedName>
    <definedName name="__APW_RESTORE_DATA1052__" hidden="1">#REF!</definedName>
    <definedName name="__APW_RESTORE_DATA1053__" hidden="1">#REF!</definedName>
    <definedName name="__APW_RESTORE_DATA1054__" hidden="1">#REF!</definedName>
    <definedName name="__APW_RESTORE_DATA1055__" hidden="1">#REF!</definedName>
    <definedName name="__APW_RESTORE_DATA1056__" hidden="1">#REF!</definedName>
    <definedName name="__APW_RESTORE_DATA1057__" hidden="1">#REF!</definedName>
    <definedName name="__APW_RESTORE_DATA1058__" hidden="1">#REF!</definedName>
    <definedName name="__APW_RESTORE_DATA1059__" hidden="1">#REF!</definedName>
    <definedName name="__APW_RESTORE_DATA1060__" hidden="1">#REF!</definedName>
    <definedName name="__APW_RESTORE_DATA1061__" hidden="1">#REF!</definedName>
    <definedName name="__APW_RESTORE_DATA1062__" hidden="1">#REF!</definedName>
    <definedName name="__APW_RESTORE_DATA1063__" hidden="1">#REF!</definedName>
    <definedName name="__APW_RESTORE_DATA1064__" hidden="1">#REF!</definedName>
    <definedName name="__APW_RESTORE_DATA1065__" hidden="1">#REF!</definedName>
    <definedName name="__APW_RESTORE_DATA1066__" hidden="1">#REF!</definedName>
    <definedName name="__APW_RESTORE_DATA1067__" hidden="1">#REF!</definedName>
    <definedName name="__APW_RESTORE_DATA1068__" hidden="1">#REF!</definedName>
    <definedName name="__APW_RESTORE_DATA1069__" hidden="1">#REF!</definedName>
    <definedName name="__APW_RESTORE_DATA1070__" hidden="1">#REF!</definedName>
    <definedName name="__APW_RESTORE_DATA1071__" hidden="1">#REF!</definedName>
    <definedName name="__APW_RESTORE_DATA1072__" hidden="1">#REF!</definedName>
    <definedName name="__APW_RESTORE_DATA1073__" hidden="1">#REF!</definedName>
    <definedName name="__APW_RESTORE_DATA1074__" hidden="1">#REF!</definedName>
    <definedName name="__APW_RESTORE_DATA1075__" hidden="1">#REF!</definedName>
    <definedName name="__APW_RESTORE_DATA1076__" hidden="1">#REF!</definedName>
    <definedName name="__APW_RESTORE_DATA1077__" hidden="1">#REF!</definedName>
    <definedName name="__APW_RESTORE_DATA1078__" hidden="1">#REF!</definedName>
    <definedName name="__APW_RESTORE_DATA1079__" hidden="1">#REF!</definedName>
    <definedName name="__APW_RESTORE_DATA1080__" hidden="1">#REF!</definedName>
    <definedName name="__APW_RESTORE_DATA1081__" hidden="1">#REF!</definedName>
    <definedName name="__APW_RESTORE_DATA1082__" hidden="1">#REF!</definedName>
    <definedName name="__APW_RESTORE_DATA1083__" hidden="1">#REF!</definedName>
    <definedName name="__APW_RESTORE_DATA1084__" hidden="1">#REF!</definedName>
    <definedName name="__APW_RESTORE_DATA1085__" hidden="1">#REF!</definedName>
    <definedName name="__APW_RESTORE_DATA1086__" hidden="1">#REF!</definedName>
    <definedName name="__APW_RESTORE_DATA1087__" hidden="1">#REF!</definedName>
    <definedName name="__APW_RESTORE_DATA1088__" hidden="1">#REF!</definedName>
    <definedName name="__APW_RESTORE_DATA1089__" hidden="1">#REF!</definedName>
    <definedName name="__APW_RESTORE_DATA1090__" hidden="1">#REF!</definedName>
    <definedName name="__APW_RESTORE_DATA1091__" hidden="1">#REF!</definedName>
    <definedName name="__APW_RESTORE_DATA1092__" hidden="1">#REF!</definedName>
    <definedName name="__APW_RESTORE_DATA1093__" hidden="1">#REF!</definedName>
    <definedName name="__APW_RESTORE_DATA1094__" hidden="1">#REF!</definedName>
    <definedName name="__APW_RESTORE_DATA1095__" hidden="1">#REF!</definedName>
    <definedName name="__APW_RESTORE_DATA1096__" hidden="1">#REF!</definedName>
    <definedName name="__APW_RESTORE_DATA1097__" hidden="1">#REF!</definedName>
    <definedName name="__APW_RESTORE_DATA1098__" hidden="1">#REF!</definedName>
    <definedName name="__APW_RESTORE_DATA1099__" hidden="1">#REF!</definedName>
    <definedName name="__APW_RESTORE_DATA1100__" hidden="1">#REF!</definedName>
    <definedName name="__APW_RESTORE_DATA1101__" hidden="1">#REF!</definedName>
    <definedName name="__APW_RESTORE_DATA1102__" hidden="1">#REF!</definedName>
    <definedName name="__APW_RESTORE_DATA1103__" hidden="1">#REF!</definedName>
    <definedName name="__APW_RESTORE_DATA1104__" hidden="1">#REF!</definedName>
    <definedName name="__APW_RESTORE_DATA1105__" hidden="1">#REF!</definedName>
    <definedName name="__APW_RESTORE_DATA1106__" hidden="1">#REF!</definedName>
    <definedName name="__APW_RESTORE_DATA1107__" hidden="1">#REF!</definedName>
    <definedName name="__APW_RESTORE_DATA1108__" hidden="1">#REF!</definedName>
    <definedName name="__APW_RESTORE_DATA1109__" hidden="1">#REF!</definedName>
    <definedName name="__APW_RESTORE_DATA1110__" hidden="1">#REF!</definedName>
    <definedName name="__APW_RESTORE_DATA1111__" hidden="1">#REF!</definedName>
    <definedName name="__APW_RESTORE_DATA1112__" hidden="1">#REF!</definedName>
    <definedName name="__APW_RESTORE_DATA1113__" hidden="1">#REF!</definedName>
    <definedName name="__APW_RESTORE_DATA1114__" hidden="1">#REF!</definedName>
    <definedName name="__APW_RESTORE_DATA1115__" hidden="1">#REF!</definedName>
    <definedName name="__APW_RESTORE_DATA1116__" hidden="1">#REF!</definedName>
    <definedName name="__APW_RESTORE_DATA1117__" hidden="1">#REF!</definedName>
    <definedName name="__APW_RESTORE_DATA1118__" hidden="1">#REF!</definedName>
    <definedName name="__APW_RESTORE_DATA1119__" hidden="1">#REF!</definedName>
    <definedName name="__APW_RESTORE_DATA1120__" hidden="1">#REF!</definedName>
    <definedName name="__APW_RESTORE_DATA1121__" hidden="1">#REF!</definedName>
    <definedName name="__APW_RESTORE_DATA1122__" hidden="1">#REF!</definedName>
    <definedName name="__APW_RESTORE_DATA1123__" hidden="1">#REF!</definedName>
    <definedName name="__APW_RESTORE_DATA1124__" hidden="1">#REF!</definedName>
    <definedName name="__APW_RESTORE_DATA1125__" hidden="1">#REF!</definedName>
    <definedName name="__APW_RESTORE_DATA1126__" hidden="1">#REF!</definedName>
    <definedName name="__APW_RESTORE_DATA1127__" hidden="1">#REF!</definedName>
    <definedName name="__APW_RESTORE_DATA1128__" hidden="1">#REF!</definedName>
    <definedName name="__APW_RESTORE_DATA1129__" hidden="1">#REF!</definedName>
    <definedName name="__APW_RESTORE_DATA1130__" hidden="1">#REF!</definedName>
    <definedName name="__APW_RESTORE_DATA1131__" hidden="1">#REF!</definedName>
    <definedName name="__APW_RESTORE_DATA1132__" hidden="1">#REF!</definedName>
    <definedName name="__APW_RESTORE_DATA1133__" hidden="1">#REF!</definedName>
    <definedName name="__APW_RESTORE_DATA1134__" hidden="1">#REF!</definedName>
    <definedName name="__APW_RESTORE_DATA1135__" hidden="1">#REF!</definedName>
    <definedName name="__APW_RESTORE_DATA1136__" hidden="1">#REF!</definedName>
    <definedName name="__APW_RESTORE_DATA1137__" hidden="1">#REF!</definedName>
    <definedName name="__APW_RESTORE_DATA1138__" hidden="1">#REF!</definedName>
    <definedName name="__APW_RESTORE_DATA1139__" hidden="1">#REF!</definedName>
    <definedName name="__APW_RESTORE_DATA1140__" hidden="1">#REF!</definedName>
    <definedName name="__APW_RESTORE_DATA1141__" hidden="1">#REF!</definedName>
    <definedName name="__APW_RESTORE_DATA1142__" hidden="1">#REF!</definedName>
    <definedName name="__APW_RESTORE_DATA1143__" hidden="1">#REF!</definedName>
    <definedName name="__APW_RESTORE_DATA1144__" hidden="1">#REF!</definedName>
    <definedName name="__APW_RESTORE_DATA1145__" hidden="1">#REF!</definedName>
    <definedName name="__APW_RESTORE_DATA1146__" hidden="1">#REF!</definedName>
    <definedName name="__APW_RESTORE_DATA1147__" hidden="1">#REF!</definedName>
    <definedName name="__APW_RESTORE_DATA1148__" hidden="1">#REF!</definedName>
    <definedName name="__APW_RESTORE_DATA1149__" hidden="1">#REF!</definedName>
    <definedName name="__APW_RESTORE_DATA1150__" hidden="1">#REF!</definedName>
    <definedName name="__APW_RESTORE_DATA1151__" hidden="1">#REF!</definedName>
    <definedName name="__APW_RESTORE_DATA1152__" hidden="1">#REF!</definedName>
    <definedName name="__APW_RESTORE_DATA1153__" hidden="1">#REF!</definedName>
    <definedName name="__APW_RESTORE_DATA1154__" hidden="1">#REF!</definedName>
    <definedName name="__APW_RESTORE_DATA1155__" hidden="1">#REF!</definedName>
    <definedName name="__APW_RESTORE_DATA1156__" hidden="1">#REF!</definedName>
    <definedName name="__APW_RESTORE_DATA1157__" hidden="1">#REF!</definedName>
    <definedName name="__APW_RESTORE_DATA1158__" hidden="1">#REF!</definedName>
    <definedName name="__APW_RESTORE_DATA1159__" hidden="1">#REF!</definedName>
    <definedName name="__APW_RESTORE_DATA1160__" hidden="1">#REF!</definedName>
    <definedName name="__APW_RESTORE_DATA1161__" hidden="1">#REF!</definedName>
    <definedName name="__APW_RESTORE_DATA1162__" hidden="1">#REF!</definedName>
    <definedName name="__APW_RESTORE_DATA1163__" hidden="1">#REF!</definedName>
    <definedName name="__APW_RESTORE_DATA1164__" hidden="1">#REF!</definedName>
    <definedName name="__APW_RESTORE_DATA1165__" hidden="1">#REF!</definedName>
    <definedName name="__APW_RESTORE_DATA1166__" hidden="1">#REF!</definedName>
    <definedName name="__APW_RESTORE_DATA1167__" hidden="1">#REF!</definedName>
    <definedName name="__APW_RESTORE_DATA1168__" hidden="1">#REF!</definedName>
    <definedName name="__APW_RESTORE_DATA1169__" hidden="1">#REF!</definedName>
    <definedName name="__APW_RESTORE_DATA1170__" hidden="1">#REF!</definedName>
    <definedName name="__APW_RESTORE_DATA1171__" hidden="1">#REF!</definedName>
    <definedName name="__APW_RESTORE_DATA1172__" hidden="1">#REF!</definedName>
    <definedName name="__APW_RESTORE_DATA1173__" hidden="1">#REF!</definedName>
    <definedName name="__APW_RESTORE_DATA1174__" hidden="1">#REF!</definedName>
    <definedName name="__APW_RESTORE_DATA1175__" hidden="1">#REF!</definedName>
    <definedName name="__APW_RESTORE_DATA1176__" hidden="1">#REF!</definedName>
    <definedName name="__APW_RESTORE_DATA1177__" hidden="1">#REF!</definedName>
    <definedName name="__APW_RESTORE_DATA1178__" hidden="1">#REF!</definedName>
    <definedName name="__APW_RESTORE_DATA1179__" hidden="1">#REF!</definedName>
    <definedName name="__APW_RESTORE_DATA1180__" hidden="1">#REF!</definedName>
    <definedName name="__APW_RESTORE_DATA1181__" hidden="1">#REF!</definedName>
    <definedName name="__APW_RESTORE_DATA1182__" hidden="1">#REF!</definedName>
    <definedName name="__APW_RESTORE_DATA1183__" hidden="1">#REF!</definedName>
    <definedName name="__APW_RESTORE_DATA1184__" hidden="1">#REF!</definedName>
    <definedName name="__APW_RESTORE_DATA1185__" hidden="1">#REF!</definedName>
    <definedName name="__APW_RESTORE_DATA1186__" hidden="1">#REF!</definedName>
    <definedName name="__APW_RESTORE_DATA1187__" hidden="1">#REF!</definedName>
    <definedName name="__APW_RESTORE_DATA1188__" hidden="1">#REF!</definedName>
    <definedName name="__APW_RESTORE_DATA1189__" hidden="1">#REF!</definedName>
    <definedName name="__APW_RESTORE_DATA1190__" hidden="1">#REF!</definedName>
    <definedName name="__APW_RESTORE_DATA1191__" hidden="1">#REF!</definedName>
    <definedName name="__APW_RESTORE_DATA1192__" hidden="1">#REF!</definedName>
    <definedName name="__APW_RESTORE_DATA1193__" hidden="1">#REF!</definedName>
    <definedName name="__APW_RESTORE_DATA1194__" hidden="1">#REF!</definedName>
    <definedName name="__APW_RESTORE_DATA1195__" hidden="1">#REF!</definedName>
    <definedName name="__APW_RESTORE_DATA1196__" hidden="1">#REF!</definedName>
    <definedName name="__APW_RESTORE_DATA1197__" hidden="1">#REF!</definedName>
    <definedName name="__APW_RESTORE_DATA1198__" hidden="1">#REF!</definedName>
    <definedName name="__APW_RESTORE_DATA1199__" hidden="1">#REF!</definedName>
    <definedName name="__APW_RESTORE_DATA1200__" hidden="1">#REF!</definedName>
    <definedName name="__APW_RESTORE_DATA1201__" hidden="1">#REF!</definedName>
    <definedName name="__APW_RESTORE_DATA1202__" hidden="1">#REF!</definedName>
    <definedName name="__APW_RESTORE_DATA1203__" hidden="1">#REF!</definedName>
    <definedName name="__APW_RESTORE_DATA1204__" hidden="1">#REF!</definedName>
    <definedName name="__APW_RESTORE_DATA1205__" hidden="1">#REF!</definedName>
    <definedName name="__APW_RESTORE_DATA1206__" hidden="1">#REF!</definedName>
    <definedName name="__APW_RESTORE_DATA1207__" hidden="1">#REF!</definedName>
    <definedName name="__APW_RESTORE_DATA1208__" hidden="1">#REF!</definedName>
    <definedName name="__APW_RESTORE_DATA1209__" hidden="1">#REF!</definedName>
    <definedName name="__APW_RESTORE_DATA1210__" hidden="1">#REF!</definedName>
    <definedName name="__APW_RESTORE_DATA1211__" hidden="1">#REF!</definedName>
    <definedName name="__APW_RESTORE_DATA1212__" hidden="1">#REF!</definedName>
    <definedName name="__APW_RESTORE_DATA1213__" hidden="1">#REF!</definedName>
    <definedName name="__APW_RESTORE_DATA1214__" hidden="1">#REF!</definedName>
    <definedName name="__APW_RESTORE_DATA1215__" hidden="1">#REF!</definedName>
    <definedName name="__APW_RESTORE_DATA1216__" hidden="1">#REF!</definedName>
    <definedName name="__APW_RESTORE_DATA1217__" hidden="1">#REF!</definedName>
    <definedName name="__APW_RESTORE_DATA1218__" hidden="1">#REF!</definedName>
    <definedName name="__APW_RESTORE_DATA1219__" hidden="1">#REF!</definedName>
    <definedName name="__APW_RESTORE_DATA1220__" hidden="1">#REF!</definedName>
    <definedName name="__APW_RESTORE_DATA1221__" hidden="1">#REF!</definedName>
    <definedName name="__APW_RESTORE_DATA1222__" hidden="1">#REF!</definedName>
    <definedName name="__APW_RESTORE_DATA1223__" hidden="1">#REF!</definedName>
    <definedName name="__APW_RESTORE_DATA1224__" hidden="1">#REF!</definedName>
    <definedName name="__APW_RESTORE_DATA1225__" hidden="1">#REF!</definedName>
    <definedName name="__APW_RESTORE_DATA1226__" hidden="1">#REF!</definedName>
    <definedName name="__APW_RESTORE_DATA1227__" hidden="1">#REF!</definedName>
    <definedName name="__APW_RESTORE_DATA1228__" hidden="1">#REF!</definedName>
    <definedName name="__APW_RESTORE_DATA1229__" hidden="1">#REF!</definedName>
    <definedName name="__APW_RESTORE_DATA1230__" hidden="1">#REF!</definedName>
    <definedName name="__APW_RESTORE_DATA1231__" hidden="1">#REF!</definedName>
    <definedName name="__APW_RESTORE_DATA1232__" hidden="1">#REF!</definedName>
    <definedName name="__APW_RESTORE_DATA1233__" hidden="1">#REF!</definedName>
    <definedName name="__APW_RESTORE_DATA1234__" hidden="1">#REF!</definedName>
    <definedName name="__APW_RESTORE_DATA1235__" hidden="1">#REF!</definedName>
    <definedName name="__APW_RESTORE_DATA1236__" hidden="1">#REF!</definedName>
    <definedName name="__APW_RESTORE_DATA1237__" hidden="1">#REF!</definedName>
    <definedName name="__APW_RESTORE_DATA1238__" hidden="1">#REF!</definedName>
    <definedName name="__APW_RESTORE_DATA1239__" hidden="1">#REF!</definedName>
    <definedName name="__APW_RESTORE_DATA1240__" hidden="1">#REF!</definedName>
    <definedName name="__APW_RESTORE_DATA1241__" hidden="1">#REF!</definedName>
    <definedName name="__APW_RESTORE_DATA1242__" hidden="1">#REF!</definedName>
    <definedName name="__APW_RESTORE_DATA1243__" hidden="1">#REF!</definedName>
    <definedName name="__APW_RESTORE_DATA1244__" hidden="1">#REF!</definedName>
    <definedName name="__APW_RESTORE_DATA1245__" hidden="1">#REF!</definedName>
    <definedName name="__APW_RESTORE_DATA1246__" hidden="1">#REF!</definedName>
    <definedName name="__APW_RESTORE_DATA1247__" hidden="1">#REF!</definedName>
    <definedName name="__APW_RESTORE_DATA1248__" hidden="1">#REF!</definedName>
    <definedName name="__APW_RESTORE_DATA1249__" hidden="1">#REF!</definedName>
    <definedName name="__APW_RESTORE_DATA1250__" hidden="1">#REF!</definedName>
    <definedName name="__APW_RESTORE_DATA1251__" hidden="1">#REF!</definedName>
    <definedName name="__APW_RESTORE_DATA1252__" hidden="1">#REF!</definedName>
    <definedName name="__APW_RESTORE_DATA1253__" hidden="1">#REF!</definedName>
    <definedName name="__APW_RESTORE_DATA1254__" hidden="1">#REF!</definedName>
    <definedName name="__APW_RESTORE_DATA1255__" hidden="1">#REF!</definedName>
    <definedName name="__APW_RESTORE_DATA1256__" hidden="1">#REF!</definedName>
    <definedName name="__APW_RESTORE_DATA1257__" hidden="1">#REF!</definedName>
    <definedName name="__APW_RESTORE_DATA192__" hidden="1">[2]Data!$E$23,[2]Data!$E$23</definedName>
    <definedName name="__APW_RESTORE_DATA193__" hidden="1">[2]Data!$J$23,[2]Data!$J$23</definedName>
    <definedName name="__APW_RESTORE_DATA194__" hidden="1">[2]Data!$O$23,[2]Data!$O$23</definedName>
    <definedName name="__APW_RESTORE_DATA195__" hidden="1">[2]Data!$T$23,[2]Data!$T$23</definedName>
    <definedName name="__APW_RESTORE_DATA196__" hidden="1">[2]Data!$Y$23,[2]Data!$Y$23</definedName>
    <definedName name="__APW_RESTORE_DATA197__" hidden="1">[2]Data!$AD$23,[2]Data!$AD$23</definedName>
    <definedName name="__APW_RESTORE_DATA198__" hidden="1">[2]Data!$AI$23,[2]Data!$AI$23</definedName>
    <definedName name="__APW_RESTORE_DATA199__" hidden="1">[2]Data!$AN$23,[2]Data!$AN$23</definedName>
    <definedName name="__APW_RESTORE_DATA200__" hidden="1">[2]Data!$AS$23,[2]Data!$AS$23</definedName>
    <definedName name="__APW_RESTORE_DATA201__" hidden="1">[2]Data!$AX$23,[2]Data!$AX$23</definedName>
    <definedName name="__APW_RESTORE_DATA202__" hidden="1">[2]Data!$BC$23,[2]Data!$BC$23</definedName>
    <definedName name="__APW_RESTORE_DATA203__" hidden="1">[2]Data!$BH$23,[2]Data!$BH$23</definedName>
    <definedName name="__APW_RESTORE_DATA204__" hidden="1">[2]Data!$BM$23,[2]Data!$BM$23</definedName>
    <definedName name="__APW_RESTORE_DATA205__" hidden="1">[2]Data!$BR$23,[2]Data!$BR$23</definedName>
    <definedName name="__APW_RESTORE_DATA220__" hidden="1">[2]Data!$E$29,[2]Data!$E$29</definedName>
    <definedName name="__APW_RESTORE_DATA221__" hidden="1">[2]Data!$F$29,[2]Data!$F$29</definedName>
    <definedName name="__APW_RESTORE_DATA225__" hidden="1">[2]Data!$J$29,[2]Data!$J$29</definedName>
    <definedName name="__APW_RESTORE_DATA226__" hidden="1">[2]Data!$K$29,[2]Data!$K$29</definedName>
    <definedName name="__APW_RESTORE_DATA230__" hidden="1">[2]Data!$O$29,[2]Data!$O$29</definedName>
    <definedName name="__APW_RESTORE_DATA231__" hidden="1">[2]Data!$P$29,[2]Data!$P$29</definedName>
    <definedName name="__APW_RESTORE_DATA235__" hidden="1">[2]Data!$T$29,[2]Data!$T$29</definedName>
    <definedName name="__APW_RESTORE_DATA236__" hidden="1">[2]Data!$U$29,[2]Data!$U$29</definedName>
    <definedName name="__APW_RESTORE_DATA240__" hidden="1">[2]Data!$Y$29,[2]Data!$Y$29</definedName>
    <definedName name="__APW_RESTORE_DATA241__" hidden="1">[2]Data!$Z$29,[2]Data!$Z$29</definedName>
    <definedName name="__APW_RESTORE_DATA245__" hidden="1">[2]Data!$AD$29,[2]Data!$AD$29</definedName>
    <definedName name="__APW_RESTORE_DATA246__" hidden="1">[2]Data!$AE$29,[2]Data!$AE$29</definedName>
    <definedName name="__APW_RESTORE_DATA250__" hidden="1">[2]Data!$AI$29,[2]Data!$AI$29</definedName>
    <definedName name="__APW_RESTORE_DATA251__" hidden="1">[2]Data!$AJ$29,[2]Data!$AJ$29</definedName>
    <definedName name="__APW_RESTORE_DATA255__" hidden="1">[2]Data!$AN$29,[2]Data!$AN$29</definedName>
    <definedName name="__APW_RESTORE_DATA256__" hidden="1">[2]Data!$AO$29,[2]Data!$AO$29</definedName>
    <definedName name="__APW_RESTORE_DATA260__" hidden="1">[2]Data!$AS$29,[2]Data!$AS$29</definedName>
    <definedName name="__APW_RESTORE_DATA2608__" hidden="1">[2]Data!#REF!</definedName>
    <definedName name="__APW_RESTORE_DATA2609__" hidden="1">[2]Data!#REF!</definedName>
    <definedName name="__APW_RESTORE_DATA261__" hidden="1">[2]Data!$AT$29,[2]Data!$AT$29</definedName>
    <definedName name="__APW_RESTORE_DATA2610__" hidden="1">[2]Data!#REF!</definedName>
    <definedName name="__APW_RESTORE_DATA2611__" hidden="1">[2]Data!#REF!</definedName>
    <definedName name="__APW_RESTORE_DATA2612__" hidden="1">[2]Data!#REF!</definedName>
    <definedName name="__APW_RESTORE_DATA2613__" hidden="1">[2]Data!#REF!</definedName>
    <definedName name="__APW_RESTORE_DATA2617__" hidden="1">[2]Data!#REF!</definedName>
    <definedName name="__APW_RESTORE_DATA2618__" hidden="1">[2]Data!#REF!</definedName>
    <definedName name="__APW_RESTORE_DATA2619__" hidden="1">[2]Data!#REF!</definedName>
    <definedName name="__APW_RESTORE_DATA2620__" hidden="1">[2]Data!#REF!</definedName>
    <definedName name="__APW_RESTORE_DATA2621__" hidden="1">[2]Data!#REF!</definedName>
    <definedName name="__APW_RESTORE_DATA2622__" hidden="1">[2]Data!#REF!</definedName>
    <definedName name="__APW_RESTORE_DATA2626__" hidden="1">[2]Data!#REF!</definedName>
    <definedName name="__APW_RESTORE_DATA2627__" hidden="1">[2]Data!#REF!</definedName>
    <definedName name="__APW_RESTORE_DATA2628__" hidden="1">[2]Data!#REF!</definedName>
    <definedName name="__APW_RESTORE_DATA2629__" hidden="1">[2]Data!#REF!</definedName>
    <definedName name="__APW_RESTORE_DATA2630__" hidden="1">[2]Data!#REF!</definedName>
    <definedName name="__APW_RESTORE_DATA2631__" hidden="1">[2]Data!#REF!</definedName>
    <definedName name="__APW_RESTORE_DATA2635__" hidden="1">[2]Data!#REF!</definedName>
    <definedName name="__APW_RESTORE_DATA2636__" hidden="1">[2]Data!#REF!</definedName>
    <definedName name="__APW_RESTORE_DATA2637__" hidden="1">[2]Data!#REF!</definedName>
    <definedName name="__APW_RESTORE_DATA2638__" hidden="1">[2]Data!#REF!</definedName>
    <definedName name="__APW_RESTORE_DATA2639__" hidden="1">[2]Data!#REF!</definedName>
    <definedName name="__APW_RESTORE_DATA2640__" hidden="1">[2]Data!#REF!</definedName>
    <definedName name="__APW_RESTORE_DATA2644__" hidden="1">[2]Data!#REF!</definedName>
    <definedName name="__APW_RESTORE_DATA2645__" hidden="1">[2]Data!#REF!</definedName>
    <definedName name="__APW_RESTORE_DATA2646__" hidden="1">[2]Data!#REF!</definedName>
    <definedName name="__APW_RESTORE_DATA2647__" hidden="1">[2]Data!#REF!</definedName>
    <definedName name="__APW_RESTORE_DATA2648__" hidden="1">[2]Data!#REF!</definedName>
    <definedName name="__APW_RESTORE_DATA2649__" hidden="1">[2]Data!#REF!</definedName>
    <definedName name="__APW_RESTORE_DATA265__" hidden="1">[2]Data!$AX$29,[2]Data!$AX$29</definedName>
    <definedName name="__APW_RESTORE_DATA2653__" hidden="1">[2]Data!#REF!</definedName>
    <definedName name="__APW_RESTORE_DATA2654__" hidden="1">[2]Data!#REF!</definedName>
    <definedName name="__APW_RESTORE_DATA2655__" hidden="1">[2]Data!#REF!</definedName>
    <definedName name="__APW_RESTORE_DATA2656__" hidden="1">[2]Data!#REF!</definedName>
    <definedName name="__APW_RESTORE_DATA2657__" hidden="1">[2]Data!#REF!</definedName>
    <definedName name="__APW_RESTORE_DATA2658__" hidden="1">[2]Data!#REF!</definedName>
    <definedName name="__APW_RESTORE_DATA266__" hidden="1">[2]Data!$AY$29,[2]Data!$AY$29</definedName>
    <definedName name="__APW_RESTORE_DATA2662__" hidden="1">[2]Data!#REF!</definedName>
    <definedName name="__APW_RESTORE_DATA2663__" hidden="1">[2]Data!#REF!</definedName>
    <definedName name="__APW_RESTORE_DATA2664__" hidden="1">[2]Data!#REF!</definedName>
    <definedName name="__APW_RESTORE_DATA2665__" hidden="1">[2]Data!#REF!</definedName>
    <definedName name="__APW_RESTORE_DATA2666__" hidden="1">[2]Data!#REF!</definedName>
    <definedName name="__APW_RESTORE_DATA2667__" hidden="1">[2]Data!#REF!</definedName>
    <definedName name="__APW_RESTORE_DATA2671__" hidden="1">[2]Data!#REF!</definedName>
    <definedName name="__APW_RESTORE_DATA2672__" hidden="1">[2]Data!#REF!</definedName>
    <definedName name="__APW_RESTORE_DATA2673__" hidden="1">[2]Data!#REF!</definedName>
    <definedName name="__APW_RESTORE_DATA2674__" hidden="1">[2]Data!#REF!</definedName>
    <definedName name="__APW_RESTORE_DATA2675__" hidden="1">[2]Data!#REF!</definedName>
    <definedName name="__APW_RESTORE_DATA2676__" hidden="1">[2]Data!#REF!</definedName>
    <definedName name="__APW_RESTORE_DATA2680__" hidden="1">[2]Data!#REF!</definedName>
    <definedName name="__APW_RESTORE_DATA2681__" hidden="1">[2]Data!#REF!</definedName>
    <definedName name="__APW_RESTORE_DATA2682__" hidden="1">[2]Data!#REF!</definedName>
    <definedName name="__APW_RESTORE_DATA2683__" hidden="1">[2]Data!#REF!</definedName>
    <definedName name="__APW_RESTORE_DATA2684__" hidden="1">[2]Data!#REF!</definedName>
    <definedName name="__APW_RESTORE_DATA2685__" hidden="1">[2]Data!#REF!</definedName>
    <definedName name="__APW_RESTORE_DATA2689__" hidden="1">[2]Data!#REF!</definedName>
    <definedName name="__APW_RESTORE_DATA2690__" hidden="1">[2]Data!#REF!</definedName>
    <definedName name="__APW_RESTORE_DATA2691__" hidden="1">[2]Data!#REF!</definedName>
    <definedName name="__APW_RESTORE_DATA2692__" hidden="1">[2]Data!#REF!</definedName>
    <definedName name="__APW_RESTORE_DATA2693__" hidden="1">[2]Data!#REF!</definedName>
    <definedName name="__APW_RESTORE_DATA2694__" hidden="1">[2]Data!#REF!</definedName>
    <definedName name="__APW_RESTORE_DATA2698__" hidden="1">[2]Data!#REF!</definedName>
    <definedName name="__APW_RESTORE_DATA2699__" hidden="1">[2]Data!#REF!</definedName>
    <definedName name="__APW_RESTORE_DATA270__" hidden="1">[2]Data!$BC$29,[2]Data!$BC$29</definedName>
    <definedName name="__APW_RESTORE_DATA2700__" hidden="1">[2]Data!#REF!</definedName>
    <definedName name="__APW_RESTORE_DATA2701__" hidden="1">[2]Data!#REF!</definedName>
    <definedName name="__APW_RESTORE_DATA2702__" hidden="1">[2]Data!#REF!</definedName>
    <definedName name="__APW_RESTORE_DATA2703__" hidden="1">[2]Data!#REF!</definedName>
    <definedName name="__APW_RESTORE_DATA2707__" hidden="1">[2]Data!#REF!</definedName>
    <definedName name="__APW_RESTORE_DATA2708__" hidden="1">[2]Data!#REF!</definedName>
    <definedName name="__APW_RESTORE_DATA2709__" hidden="1">[2]Data!#REF!</definedName>
    <definedName name="__APW_RESTORE_DATA271__" hidden="1">[2]Data!$BD$29,[2]Data!$BD$29</definedName>
    <definedName name="__APW_RESTORE_DATA2710__" hidden="1">[2]Data!#REF!</definedName>
    <definedName name="__APW_RESTORE_DATA2711__" hidden="1">[2]Data!#REF!</definedName>
    <definedName name="__APW_RESTORE_DATA2712__" hidden="1">[2]Data!#REF!</definedName>
    <definedName name="__APW_RESTORE_DATA2716__" hidden="1">[2]Data!#REF!</definedName>
    <definedName name="__APW_RESTORE_DATA2717__" hidden="1">[2]Data!#REF!</definedName>
    <definedName name="__APW_RESTORE_DATA2718__" hidden="1">[2]Data!#REF!</definedName>
    <definedName name="__APW_RESTORE_DATA2719__" hidden="1">[2]Data!#REF!</definedName>
    <definedName name="__APW_RESTORE_DATA2720__" hidden="1">[2]Data!#REF!</definedName>
    <definedName name="__APW_RESTORE_DATA2721__" hidden="1">[2]Data!#REF!</definedName>
    <definedName name="__APW_RESTORE_DATA2725__" hidden="1">[2]Data!#REF!,[2]Data!#REF!</definedName>
    <definedName name="__APW_RESTORE_DATA2726__" hidden="1">[2]Data!#REF!,[2]Data!#REF!</definedName>
    <definedName name="__APW_RESTORE_DATA2727__" hidden="1">[2]Data!#REF!,[2]Data!#REF!</definedName>
    <definedName name="__APW_RESTORE_DATA2728__" hidden="1">[2]Data!#REF!,[2]Data!#REF!</definedName>
    <definedName name="__APW_RESTORE_DATA2729__" hidden="1">[2]Data!#REF!,[2]Data!#REF!</definedName>
    <definedName name="__APW_RESTORE_DATA2730__" hidden="1">[2]Data!#REF!,[2]Data!#REF!</definedName>
    <definedName name="__APW_RESTORE_DATA2734__" hidden="1">[2]Data!#REF!</definedName>
    <definedName name="__APW_RESTORE_DATA2735__" hidden="1">[2]Data!#REF!</definedName>
    <definedName name="__APW_RESTORE_DATA2736__" hidden="1">[2]Data!#REF!</definedName>
    <definedName name="__APW_RESTORE_DATA2737__" hidden="1">[2]Data!#REF!</definedName>
    <definedName name="__APW_RESTORE_DATA2738__" hidden="1">[2]Data!#REF!</definedName>
    <definedName name="__APW_RESTORE_DATA2739__" hidden="1">[2]Data!#REF!</definedName>
    <definedName name="__APW_RESTORE_DATA275__" hidden="1">[2]Data!$BH$29,[2]Data!$BH$29</definedName>
    <definedName name="__APW_RESTORE_DATA2755__" hidden="1">[2]Data!#REF!,[2]Data!#REF!</definedName>
    <definedName name="__APW_RESTORE_DATA2756__" hidden="1">[2]Data!#REF!,[2]Data!#REF!</definedName>
    <definedName name="__APW_RESTORE_DATA2757__" hidden="1">[2]Data!#REF!</definedName>
    <definedName name="__APW_RESTORE_DATA2758__" hidden="1">[2]Data!#REF!</definedName>
    <definedName name="__APW_RESTORE_DATA2759__" hidden="1">[2]Data!#REF!</definedName>
    <definedName name="__APW_RESTORE_DATA276__" hidden="1">[2]Data!$BI$29,[2]Data!$BI$29</definedName>
    <definedName name="__APW_RESTORE_DATA2760__" hidden="1">[2]Data!#REF!,[2]Data!#REF!</definedName>
    <definedName name="__APW_RESTORE_DATA2761__" hidden="1">[2]Data!#REF!,[2]Data!#REF!</definedName>
    <definedName name="__APW_RESTORE_DATA2762__" hidden="1">[2]Data!#REF!</definedName>
    <definedName name="__APW_RESTORE_DATA2763__" hidden="1">[2]Data!#REF!</definedName>
    <definedName name="__APW_RESTORE_DATA2764__" hidden="1">[2]Data!#REF!</definedName>
    <definedName name="__APW_RESTORE_DATA2765__" hidden="1">[2]Data!#REF!,[2]Data!#REF!</definedName>
    <definedName name="__APW_RESTORE_DATA2766__" hidden="1">[2]Data!#REF!,[2]Data!#REF!</definedName>
    <definedName name="__APW_RESTORE_DATA2767__" hidden="1">[2]Data!#REF!</definedName>
    <definedName name="__APW_RESTORE_DATA2768__" hidden="1">[2]Data!#REF!</definedName>
    <definedName name="__APW_RESTORE_DATA2769__" hidden="1">[2]Data!#REF!</definedName>
    <definedName name="__APW_RESTORE_DATA2770__" hidden="1">[2]Data!#REF!,[2]Data!#REF!</definedName>
    <definedName name="__APW_RESTORE_DATA2771__" hidden="1">[2]Data!#REF!,[2]Data!#REF!</definedName>
    <definedName name="__APW_RESTORE_DATA2772__" hidden="1">[2]Data!#REF!</definedName>
    <definedName name="__APW_RESTORE_DATA2773__" hidden="1">[2]Data!#REF!</definedName>
    <definedName name="__APW_RESTORE_DATA2774__" hidden="1">[2]Data!#REF!</definedName>
    <definedName name="__APW_RESTORE_DATA2775__" hidden="1">[2]Data!#REF!,[2]Data!#REF!</definedName>
    <definedName name="__APW_RESTORE_DATA2776__" hidden="1">[2]Data!#REF!,[2]Data!#REF!</definedName>
    <definedName name="__APW_RESTORE_DATA2777__" hidden="1">[2]Data!#REF!</definedName>
    <definedName name="__APW_RESTORE_DATA2778__" hidden="1">[2]Data!#REF!</definedName>
    <definedName name="__APW_RESTORE_DATA2779__" hidden="1">[2]Data!#REF!</definedName>
    <definedName name="__APW_RESTORE_DATA2780__" hidden="1">[2]Data!#REF!,[2]Data!#REF!</definedName>
    <definedName name="__APW_RESTORE_DATA2781__" hidden="1">[2]Data!#REF!,[2]Data!#REF!</definedName>
    <definedName name="__APW_RESTORE_DATA2782__" hidden="1">[2]Data!#REF!</definedName>
    <definedName name="__APW_RESTORE_DATA2783__" hidden="1">[2]Data!#REF!</definedName>
    <definedName name="__APW_RESTORE_DATA2784__" hidden="1">[2]Data!#REF!</definedName>
    <definedName name="__APW_RESTORE_DATA280__" hidden="1">[2]Data!$BM$29,[2]Data!$BM$29</definedName>
    <definedName name="__APW_RESTORE_DATA2800__" hidden="1">[2]Data!#REF!,[2]Data!#REF!</definedName>
    <definedName name="__APW_RESTORE_DATA2801__" hidden="1">[2]Data!#REF!,[2]Data!#REF!</definedName>
    <definedName name="__APW_RESTORE_DATA2802__" hidden="1">[2]Data!#REF!</definedName>
    <definedName name="__APW_RESTORE_DATA2803__" hidden="1">[2]Data!#REF!</definedName>
    <definedName name="__APW_RESTORE_DATA2804__" hidden="1">[2]Data!#REF!</definedName>
    <definedName name="__APW_RESTORE_DATA2805__" hidden="1">[2]Data!#REF!,[2]Data!#REF!</definedName>
    <definedName name="__APW_RESTORE_DATA2806__" hidden="1">[2]Data!#REF!,[2]Data!#REF!</definedName>
    <definedName name="__APW_RESTORE_DATA2807__" hidden="1">[2]Data!#REF!</definedName>
    <definedName name="__APW_RESTORE_DATA2808__" hidden="1">[2]Data!#REF!</definedName>
    <definedName name="__APW_RESTORE_DATA2809__" hidden="1">[2]Data!#REF!</definedName>
    <definedName name="__APW_RESTORE_DATA281__" hidden="1">[2]Data!$BN$29,[2]Data!$BN$29</definedName>
    <definedName name="__APW_RESTORE_DATA2810__" hidden="1">[2]Data!#REF!,[2]Data!#REF!</definedName>
    <definedName name="__APW_RESTORE_DATA2811__" hidden="1">[2]Data!#REF!,[2]Data!#REF!</definedName>
    <definedName name="__APW_RESTORE_DATA2812__" hidden="1">[2]Data!#REF!</definedName>
    <definedName name="__APW_RESTORE_DATA2813__" hidden="1">[2]Data!#REF!</definedName>
    <definedName name="__APW_RESTORE_DATA2814__" hidden="1">[2]Data!#REF!</definedName>
    <definedName name="__APW_RESTORE_DATA2815__" hidden="1">[2]Data!#REF!,[2]Data!#REF!</definedName>
    <definedName name="__APW_RESTORE_DATA2816__" hidden="1">[2]Data!#REF!,[2]Data!#REF!</definedName>
    <definedName name="__APW_RESTORE_DATA2817__" hidden="1">[2]Data!#REF!</definedName>
    <definedName name="__APW_RESTORE_DATA2818__" hidden="1">[2]Data!#REF!</definedName>
    <definedName name="__APW_RESTORE_DATA2819__" hidden="1">[2]Data!#REF!</definedName>
    <definedName name="__APW_RESTORE_DATA2820__" hidden="1">[2]Data!#REF!,[2]Data!#REF!</definedName>
    <definedName name="__APW_RESTORE_DATA2821__" hidden="1">[2]Data!#REF!,[2]Data!#REF!</definedName>
    <definedName name="__APW_RESTORE_DATA2822__" hidden="1">[2]Data!#REF!</definedName>
    <definedName name="__APW_RESTORE_DATA2823__" hidden="1">[2]Data!#REF!</definedName>
    <definedName name="__APW_RESTORE_DATA2824__" hidden="1">[2]Data!#REF!</definedName>
    <definedName name="__APW_RESTORE_DATA2825__" hidden="1">[2]Data!#REF!,[2]Data!#REF!</definedName>
    <definedName name="__APW_RESTORE_DATA2826__" hidden="1">[2]Data!#REF!,[2]Data!#REF!</definedName>
    <definedName name="__APW_RESTORE_DATA2827__" hidden="1">[2]Data!#REF!</definedName>
    <definedName name="__APW_RESTORE_DATA2828__" hidden="1">[2]Data!#REF!</definedName>
    <definedName name="__APW_RESTORE_DATA2829__" hidden="1">[2]Data!#REF!</definedName>
    <definedName name="__APW_RESTORE_DATA2845__" hidden="1">[2]Data!#REF!,[2]Data!#REF!</definedName>
    <definedName name="__APW_RESTORE_DATA2846__" hidden="1">[2]Data!#REF!,[2]Data!#REF!</definedName>
    <definedName name="__APW_RESTORE_DATA2847__" hidden="1">[2]Data!#REF!</definedName>
    <definedName name="__APW_RESTORE_DATA2848__" hidden="1">[2]Data!#REF!</definedName>
    <definedName name="__APW_RESTORE_DATA2849__" hidden="1">[2]Data!#REF!</definedName>
    <definedName name="__APW_RESTORE_DATA285__" hidden="1">[2]Data!$BR$29,[2]Data!$BR$29</definedName>
    <definedName name="__APW_RESTORE_DATA2850__" hidden="1">[2]Data!#REF!,[2]Data!#REF!</definedName>
    <definedName name="__APW_RESTORE_DATA2851__" hidden="1">[2]Data!#REF!,[2]Data!#REF!</definedName>
    <definedName name="__APW_RESTORE_DATA2852__" hidden="1">[2]Data!#REF!</definedName>
    <definedName name="__APW_RESTORE_DATA2853__" hidden="1">[2]Data!#REF!</definedName>
    <definedName name="__APW_RESTORE_DATA2854__" hidden="1">[2]Data!#REF!</definedName>
    <definedName name="__APW_RESTORE_DATA2855__" hidden="1">[2]Data!#REF!,[2]Data!#REF!</definedName>
    <definedName name="__APW_RESTORE_DATA2856__" hidden="1">[2]Data!#REF!,[2]Data!#REF!</definedName>
    <definedName name="__APW_RESTORE_DATA2857__" hidden="1">[2]Data!#REF!</definedName>
    <definedName name="__APW_RESTORE_DATA2858__" hidden="1">[2]Data!#REF!</definedName>
    <definedName name="__APW_RESTORE_DATA2859__" hidden="1">[2]Data!#REF!</definedName>
    <definedName name="__APW_RESTORE_DATA286__" hidden="1">[2]Data!$BS$29,[2]Data!$BS$29</definedName>
    <definedName name="__APW_RESTORE_DATA2860__" hidden="1">[2]Data!#REF!,[2]Data!#REF!</definedName>
    <definedName name="__APW_RESTORE_DATA2861__" hidden="1">[2]Data!#REF!,[2]Data!#REF!</definedName>
    <definedName name="__APW_RESTORE_DATA2862__" hidden="1">[2]Data!#REF!</definedName>
    <definedName name="__APW_RESTORE_DATA2863__" hidden="1">[2]Data!#REF!</definedName>
    <definedName name="__APW_RESTORE_DATA2864__" hidden="1">[2]Data!#REF!</definedName>
    <definedName name="__APW_RESTORE_DATA2865__" hidden="1">[2]Data!#REF!,[2]Data!#REF!</definedName>
    <definedName name="__APW_RESTORE_DATA2866__" hidden="1">[2]Data!#REF!,[2]Data!#REF!</definedName>
    <definedName name="__APW_RESTORE_DATA2867__" hidden="1">[2]Data!#REF!</definedName>
    <definedName name="__APW_RESTORE_DATA2868__" hidden="1">[2]Data!#REF!</definedName>
    <definedName name="__APW_RESTORE_DATA2869__" hidden="1">[2]Data!#REF!</definedName>
    <definedName name="__APW_RESTORE_DATA2870__" hidden="1">[2]Data!#REF!,[2]Data!#REF!</definedName>
    <definedName name="__APW_RESTORE_DATA2871__" hidden="1">[2]Data!#REF!,[2]Data!#REF!</definedName>
    <definedName name="__APW_RESTORE_DATA2872__" hidden="1">[2]Data!#REF!</definedName>
    <definedName name="__APW_RESTORE_DATA2873__" hidden="1">[2]Data!#REF!</definedName>
    <definedName name="__APW_RESTORE_DATA2874__" hidden="1">[2]Data!#REF!</definedName>
    <definedName name="__APW_RESTORE_DATA2890__" hidden="1">[2]Data!#REF!,[2]Data!#REF!</definedName>
    <definedName name="__APW_RESTORE_DATA2891__" hidden="1">[2]Data!#REF!,[2]Data!#REF!</definedName>
    <definedName name="__APW_RESTORE_DATA2892__" hidden="1">[2]Data!#REF!</definedName>
    <definedName name="__APW_RESTORE_DATA2893__" hidden="1">[2]Data!#REF!</definedName>
    <definedName name="__APW_RESTORE_DATA2894__" hidden="1">[2]Data!#REF!</definedName>
    <definedName name="__APW_RESTORE_DATA2895__" hidden="1">[2]Data!#REF!,[2]Data!#REF!</definedName>
    <definedName name="__APW_RESTORE_DATA2896__" hidden="1">[2]Data!#REF!,[2]Data!#REF!</definedName>
    <definedName name="__APW_RESTORE_DATA2897__" hidden="1">[2]Data!#REF!</definedName>
    <definedName name="__APW_RESTORE_DATA2898__" hidden="1">[2]Data!#REF!</definedName>
    <definedName name="__APW_RESTORE_DATA2899__" hidden="1">[2]Data!#REF!</definedName>
    <definedName name="__APW_RESTORE_DATA290__" hidden="1">[2]Data!$E$30,[2]Data!$E$30</definedName>
    <definedName name="__APW_RESTORE_DATA2900__" hidden="1">[2]Data!#REF!,[2]Data!#REF!</definedName>
    <definedName name="__APW_RESTORE_DATA2901__" hidden="1">[2]Data!#REF!,[2]Data!#REF!</definedName>
    <definedName name="__APW_RESTORE_DATA2902__" hidden="1">[2]Data!#REF!</definedName>
    <definedName name="__APW_RESTORE_DATA2903__" hidden="1">[2]Data!#REF!</definedName>
    <definedName name="__APW_RESTORE_DATA2904__" hidden="1">[2]Data!#REF!</definedName>
    <definedName name="__APW_RESTORE_DATA2905__" hidden="1">[2]Data!#REF!,[2]Data!#REF!</definedName>
    <definedName name="__APW_RESTORE_DATA2906__" hidden="1">[2]Data!#REF!,[2]Data!#REF!</definedName>
    <definedName name="__APW_RESTORE_DATA2907__" hidden="1">[2]Data!#REF!</definedName>
    <definedName name="__APW_RESTORE_DATA2908__" hidden="1">[2]Data!#REF!</definedName>
    <definedName name="__APW_RESTORE_DATA2909__" hidden="1">[2]Data!#REF!</definedName>
    <definedName name="__APW_RESTORE_DATA291__" hidden="1">[2]Data!$F$30,[2]Data!$F$30</definedName>
    <definedName name="__APW_RESTORE_DATA2910__" hidden="1">[2]Data!#REF!,[2]Data!#REF!</definedName>
    <definedName name="__APW_RESTORE_DATA2911__" hidden="1">[2]Data!#REF!,[2]Data!#REF!</definedName>
    <definedName name="__APW_RESTORE_DATA2912__" hidden="1">[2]Data!#REF!</definedName>
    <definedName name="__APW_RESTORE_DATA2913__" hidden="1">[2]Data!#REF!</definedName>
    <definedName name="__APW_RESTORE_DATA2914__" hidden="1">[2]Data!#REF!</definedName>
    <definedName name="__APW_RESTORE_DATA2915__" hidden="1">[2]Data!#REF!,[2]Data!#REF!</definedName>
    <definedName name="__APW_RESTORE_DATA2916__" hidden="1">[2]Data!#REF!,[2]Data!#REF!</definedName>
    <definedName name="__APW_RESTORE_DATA2917__" hidden="1">[2]Data!#REF!</definedName>
    <definedName name="__APW_RESTORE_DATA2918__" hidden="1">[2]Data!#REF!</definedName>
    <definedName name="__APW_RESTORE_DATA2919__" hidden="1">[2]Data!#REF!</definedName>
    <definedName name="__APW_RESTORE_DATA2935__" hidden="1">[2]Data!#REF!</definedName>
    <definedName name="__APW_RESTORE_DATA2936__" hidden="1">[2]Data!#REF!</definedName>
    <definedName name="__APW_RESTORE_DATA2937__" hidden="1">[2]Data!#REF!</definedName>
    <definedName name="__APW_RESTORE_DATA2938__" hidden="1">[2]Data!#REF!</definedName>
    <definedName name="__APW_RESTORE_DATA2939__" hidden="1">[2]Data!#REF!</definedName>
    <definedName name="__APW_RESTORE_DATA2940__" hidden="1">[2]Data!#REF!</definedName>
    <definedName name="__APW_RESTORE_DATA2941__" hidden="1">[2]Data!#REF!</definedName>
    <definedName name="__APW_RESTORE_DATA2942__" hidden="1">[2]Data!#REF!</definedName>
    <definedName name="__APW_RESTORE_DATA2943__" hidden="1">[2]Data!#REF!</definedName>
    <definedName name="__APW_RESTORE_DATA2944__" hidden="1">[2]Data!#REF!</definedName>
    <definedName name="__APW_RESTORE_DATA2945__" hidden="1">[2]Data!#REF!</definedName>
    <definedName name="__APW_RESTORE_DATA2946__" hidden="1">[2]Data!#REF!</definedName>
    <definedName name="__APW_RESTORE_DATA2947__" hidden="1">[2]Data!#REF!</definedName>
    <definedName name="__APW_RESTORE_DATA2948__" hidden="1">[2]Data!#REF!</definedName>
    <definedName name="__APW_RESTORE_DATA2949__" hidden="1">[2]Data!#REF!</definedName>
    <definedName name="__APW_RESTORE_DATA295__" hidden="1">[2]Data!$J$30,[2]Data!$J$30</definedName>
    <definedName name="__APW_RESTORE_DATA2950__" hidden="1">[2]Data!#REF!</definedName>
    <definedName name="__APW_RESTORE_DATA2951__" hidden="1">[2]Data!#REF!</definedName>
    <definedName name="__APW_RESTORE_DATA2952__" hidden="1">[2]Data!#REF!</definedName>
    <definedName name="__APW_RESTORE_DATA2953__" hidden="1">[2]Data!#REF!</definedName>
    <definedName name="__APW_RESTORE_DATA2954__" hidden="1">[2]Data!#REF!</definedName>
    <definedName name="__APW_RESTORE_DATA2955__" hidden="1">[2]Data!#REF!</definedName>
    <definedName name="__APW_RESTORE_DATA2956__" hidden="1">[2]Data!#REF!</definedName>
    <definedName name="__APW_RESTORE_DATA2957__" hidden="1">[2]Data!#REF!</definedName>
    <definedName name="__APW_RESTORE_DATA2958__" hidden="1">[2]Data!#REF!</definedName>
    <definedName name="__APW_RESTORE_DATA2959__" hidden="1">[2]Data!#REF!</definedName>
    <definedName name="__APW_RESTORE_DATA296__" hidden="1">[2]Data!$K$30,[2]Data!$K$30</definedName>
    <definedName name="__APW_RESTORE_DATA2960__" hidden="1">[2]Data!#REF!</definedName>
    <definedName name="__APW_RESTORE_DATA2961__" hidden="1">[2]Data!#REF!</definedName>
    <definedName name="__APW_RESTORE_DATA2962__" hidden="1">[2]Data!#REF!</definedName>
    <definedName name="__APW_RESTORE_DATA2963__" hidden="1">[2]Data!#REF!</definedName>
    <definedName name="__APW_RESTORE_DATA2964__" hidden="1">[2]Data!#REF!</definedName>
    <definedName name="__APW_RESTORE_DATA2966__" hidden="1">[2]Data!#REF!</definedName>
    <definedName name="__APW_RESTORE_DATA2967__" hidden="1">[2]Data!#REF!</definedName>
    <definedName name="__APW_RESTORE_DATA2968__" hidden="1">[2]Data!#REF!</definedName>
    <definedName name="__APW_RESTORE_DATA2969__" hidden="1">[2]Data!#REF!</definedName>
    <definedName name="__APW_RESTORE_DATA2970__" hidden="1">[2]Data!#REF!</definedName>
    <definedName name="__APW_RESTORE_DATA300__" hidden="1">[2]Data!$O$30,[2]Data!$O$30</definedName>
    <definedName name="__APW_RESTORE_DATA301__" hidden="1">[2]Data!$P$30,[2]Data!$P$30</definedName>
    <definedName name="__APW_RESTORE_DATA305__" hidden="1">[2]Data!$T$30,[2]Data!$T$30</definedName>
    <definedName name="__APW_RESTORE_DATA306__" hidden="1">[2]Data!$U$30,[2]Data!$U$30</definedName>
    <definedName name="__APW_RESTORE_DATA310__" hidden="1">[2]Data!$Y$30,[2]Data!$Y$30</definedName>
    <definedName name="__APW_RESTORE_DATA311__" hidden="1">[2]Data!$Z$30,[2]Data!$Z$30</definedName>
    <definedName name="__APW_RESTORE_DATA315__" hidden="1">[2]Data!$AD$30,[2]Data!$AD$30</definedName>
    <definedName name="__APW_RESTORE_DATA316__" hidden="1">[2]Data!$AE$30,[2]Data!$AE$30</definedName>
    <definedName name="__APW_RESTORE_DATA320__" hidden="1">[2]Data!$AI$30,[2]Data!$AI$30</definedName>
    <definedName name="__APW_RESTORE_DATA321__" hidden="1">[2]Data!$AJ$30,[2]Data!$AJ$30</definedName>
    <definedName name="__APW_RESTORE_DATA325__" hidden="1">[2]Data!$AN$30,[2]Data!$AN$30</definedName>
    <definedName name="__APW_RESTORE_DATA326__" hidden="1">[2]Data!$AO$30,[2]Data!$AO$30</definedName>
    <definedName name="__APW_RESTORE_DATA330__" hidden="1">[2]Data!$AS$30,[2]Data!$AS$30</definedName>
    <definedName name="__APW_RESTORE_DATA331__" hidden="1">[2]Data!$AT$30,[2]Data!$AT$30</definedName>
    <definedName name="__APW_RESTORE_DATA335__" hidden="1">[2]Data!$AX$30,[2]Data!$AX$30</definedName>
    <definedName name="__APW_RESTORE_DATA336__" hidden="1">[2]Data!$AY$30,[2]Data!$AY$30</definedName>
    <definedName name="__APW_RESTORE_DATA340__" hidden="1">[2]Data!$BC$30,[2]Data!$BC$30</definedName>
    <definedName name="__APW_RESTORE_DATA341__" hidden="1">[2]Data!$BD$30,[2]Data!$BD$30</definedName>
    <definedName name="__APW_RESTORE_DATA345__" hidden="1">[2]Data!$BH$30,[2]Data!$BH$30</definedName>
    <definedName name="__APW_RESTORE_DATA346__" hidden="1">[2]Data!$BI$30,[2]Data!$BI$30</definedName>
    <definedName name="__APW_RESTORE_DATA350__" hidden="1">[2]Data!$BM$30,[2]Data!$BM$30</definedName>
    <definedName name="__APW_RESTORE_DATA351__" hidden="1">[2]Data!$BN$30,[2]Data!$BN$30</definedName>
    <definedName name="__APW_RESTORE_DATA355__" hidden="1">[2]Data!$BR$30,[2]Data!$BR$30</definedName>
    <definedName name="__APW_RESTORE_DATA356__" hidden="1">[2]Data!$BS$30,[2]Data!$BS$30</definedName>
    <definedName name="__APW_RESTORE_DATA360__" hidden="1">[2]Data!$E$31,[2]Data!$E$31</definedName>
    <definedName name="__APW_RESTORE_DATA361__" hidden="1">[2]Data!$F$31,[2]Data!$F$31</definedName>
    <definedName name="__APW_RESTORE_DATA365__" hidden="1">[2]Data!$J$31,[2]Data!$J$31</definedName>
    <definedName name="__APW_RESTORE_DATA366__" hidden="1">[2]Data!$K$31,[2]Data!$K$31</definedName>
    <definedName name="__APW_RESTORE_DATA370__" hidden="1">[2]Data!$O$31,[2]Data!$O$31</definedName>
    <definedName name="__APW_RESTORE_DATA371__" hidden="1">[2]Data!$P$31,[2]Data!$P$31</definedName>
    <definedName name="__APW_RESTORE_DATA375__" hidden="1">[2]Data!$T$31,[2]Data!$T$31</definedName>
    <definedName name="__APW_RESTORE_DATA376__" hidden="1">[2]Data!$U$31,[2]Data!$U$31</definedName>
    <definedName name="__APW_RESTORE_DATA380__" hidden="1">[2]Data!$Y$31,[2]Data!$Y$31</definedName>
    <definedName name="__APW_RESTORE_DATA381__" hidden="1">[2]Data!$Z$31,[2]Data!$Z$31</definedName>
    <definedName name="__APW_RESTORE_DATA385__" hidden="1">[2]Data!$AD$31,[2]Data!$AD$31</definedName>
    <definedName name="__APW_RESTORE_DATA386__" hidden="1">[2]Data!$AE$31,[2]Data!$AE$31</definedName>
    <definedName name="__APW_RESTORE_DATA390__" hidden="1">[2]Data!$AI$31,[2]Data!$AI$31</definedName>
    <definedName name="__APW_RESTORE_DATA391__" hidden="1">[2]Data!$AJ$31,[2]Data!$AJ$31</definedName>
    <definedName name="__APW_RESTORE_DATA395__" hidden="1">[2]Data!$AN$31,[2]Data!$AN$31</definedName>
    <definedName name="__APW_RESTORE_DATA396__" hidden="1">[2]Data!$AO$31,[2]Data!$AO$31</definedName>
    <definedName name="__APW_RESTORE_DATA400__" hidden="1">[2]Data!$AS$31,[2]Data!$AS$31</definedName>
    <definedName name="__APW_RESTORE_DATA401__" hidden="1">[2]Data!$AT$31,[2]Data!$AT$31</definedName>
    <definedName name="__APW_RESTORE_DATA405__" hidden="1">[2]Data!$AX$31,[2]Data!$AX$31</definedName>
    <definedName name="__APW_RESTORE_DATA406__" hidden="1">[2]Data!$AY$31,[2]Data!$AY$31</definedName>
    <definedName name="__APW_RESTORE_DATA410__" hidden="1">[2]Data!$BC$31,[2]Data!$BC$31</definedName>
    <definedName name="__APW_RESTORE_DATA411__" hidden="1">[2]Data!$BD$31,[2]Data!$BD$31</definedName>
    <definedName name="__APW_RESTORE_DATA415__" hidden="1">[2]Data!$BH$31,[2]Data!$BH$31</definedName>
    <definedName name="__APW_RESTORE_DATA416__" hidden="1">[2]Data!$BI$31,[2]Data!$BI$31</definedName>
    <definedName name="__APW_RESTORE_DATA420__" hidden="1">[2]Data!$BM$31,[2]Data!$BM$31</definedName>
    <definedName name="__APW_RESTORE_DATA421__" hidden="1">[2]Data!$BN$31,[2]Data!$BN$31</definedName>
    <definedName name="__APW_RESTORE_DATA425__" hidden="1">[2]Data!$BR$31,[2]Data!$BR$31</definedName>
    <definedName name="__APW_RESTORE_DATA426__" hidden="1">[2]Data!$BS$31,[2]Data!$BS$31</definedName>
    <definedName name="__APW_RESTORE_DATA430__" hidden="1">[2]Data!$E$32,[2]Data!$E$32</definedName>
    <definedName name="__APW_RESTORE_DATA431__" hidden="1">[2]Data!$F$32,[2]Data!$F$32</definedName>
    <definedName name="__APW_RESTORE_DATA435__" hidden="1">[2]Data!$J$32,[2]Data!$J$32</definedName>
    <definedName name="__APW_RESTORE_DATA436__" hidden="1">[2]Data!$K$32,[2]Data!$K$32</definedName>
    <definedName name="__APW_RESTORE_DATA440__" hidden="1">[2]Data!$O$32,[2]Data!$O$32</definedName>
    <definedName name="__APW_RESTORE_DATA441__" hidden="1">[2]Data!$P$32,[2]Data!$P$32</definedName>
    <definedName name="__APW_RESTORE_DATA445__" hidden="1">[2]Data!$T$32,[2]Data!$T$32</definedName>
    <definedName name="__APW_RESTORE_DATA446__" hidden="1">[2]Data!$U$32,[2]Data!$U$32</definedName>
    <definedName name="__APW_RESTORE_DATA450__" hidden="1">[2]Data!$Y$32,[2]Data!$Y$32</definedName>
    <definedName name="__APW_RESTORE_DATA451__" hidden="1">[2]Data!$Z$32,[2]Data!$Z$32</definedName>
    <definedName name="__APW_RESTORE_DATA455__" hidden="1">[2]Data!$AD$32,[2]Data!$AD$32</definedName>
    <definedName name="__APW_RESTORE_DATA456__" hidden="1">[2]Data!$AE$32,[2]Data!$AE$32</definedName>
    <definedName name="__APW_RESTORE_DATA460__" hidden="1">[2]Data!$AI$32,[2]Data!$AI$32</definedName>
    <definedName name="__APW_RESTORE_DATA461__" hidden="1">[2]Data!$AJ$32,[2]Data!$AJ$32</definedName>
    <definedName name="__APW_RESTORE_DATA465__" hidden="1">[2]Data!$AN$32,[2]Data!$AN$32</definedName>
    <definedName name="__APW_RESTORE_DATA466__" hidden="1">[2]Data!$AO$32,[2]Data!$AO$32</definedName>
    <definedName name="__APW_RESTORE_DATA470__" hidden="1">[2]Data!$AS$32,[2]Data!$AS$32</definedName>
    <definedName name="__APW_RESTORE_DATA471__" hidden="1">[2]Data!$AT$32,[2]Data!$AT$32</definedName>
    <definedName name="__APW_RESTORE_DATA475__" hidden="1">[2]Data!$AX$32,[2]Data!$AX$32</definedName>
    <definedName name="__APW_RESTORE_DATA476__" hidden="1">[2]Data!$AY$32,[2]Data!$AY$32</definedName>
    <definedName name="__APW_RESTORE_DATA480__" hidden="1">[2]Data!$BC$32,[2]Data!$BC$32</definedName>
    <definedName name="__APW_RESTORE_DATA481__" hidden="1">[2]Data!$BD$32,[2]Data!$BD$32</definedName>
    <definedName name="__APW_RESTORE_DATA485__" hidden="1">[2]Data!$BH$32,[2]Data!$BH$32</definedName>
    <definedName name="__APW_RESTORE_DATA486__" hidden="1">[2]Data!$BI$32,[2]Data!$BI$32</definedName>
    <definedName name="__APW_RESTORE_DATA490__" hidden="1">[2]Data!$BM$32,[2]Data!$BM$32</definedName>
    <definedName name="__APW_RESTORE_DATA491__" hidden="1">[2]Data!$BN$32,[2]Data!$BN$32</definedName>
    <definedName name="__APW_RESTORE_DATA495__" hidden="1">[2]Data!$BR$32,[2]Data!$BR$32</definedName>
    <definedName name="__APW_RESTORE_DATA496__" hidden="1">[2]Data!$BS$32,[2]Data!$BS$32</definedName>
    <definedName name="__APW_RESTORE_DATA614__" hidden="1">[2]Profile!$B$63,[2]Profile!$B$64,[2]Profile!$B$65,[2]Profile!$B$66,[2]Profile!$B$67,[2]Profile!$B$68,[2]Profile!$B$69,[2]Profile!$B$70,[2]Profile!$B$71,[2]Profile!$B$72,[2]Profile!$B$73,[2]Profile!$B$74,[2]Profile!$B$75,[2]Profile!$B$76,[2]Profile!$B$77,[2]Profile!$B$78</definedName>
    <definedName name="__APW_RESTORE_DATA615__" hidden="1">[2]Profile!$B$79,[2]Profile!$B$80,[2]Profile!$B$81,[2]Profile!$B$82</definedName>
    <definedName name="__APW_RESTORE_DATA616__" hidden="1">[2]Profile!$C$63,[2]Profile!$C$64,[2]Profile!$C$65,[2]Profile!$C$66,[2]Profile!$C$67,[2]Profile!$C$68,[2]Profile!$C$69,[2]Profile!$C$70,[2]Profile!$C$71,[2]Profile!$C$72,[2]Profile!$C$73,[2]Profile!$C$74,[2]Profile!$C$75,[2]Profile!$C$76,[2]Profile!$C$77,[2]Profile!$C$78</definedName>
    <definedName name="__APW_RESTORE_DATA617__" hidden="1">[2]Profile!$C$79,[2]Profile!$C$80,[2]Profile!$C$81,[2]Profile!$C$82</definedName>
    <definedName name="__APW_RESTORE_DATA618__" hidden="1">[2]Profile!$D$63,[2]Profile!$D$64,[2]Profile!$D$65,[2]Profile!$D$66,[2]Profile!$D$67,[2]Profile!$D$68,[2]Profile!$D$69,[2]Profile!$D$70,[2]Profile!$D$71,[2]Profile!$D$72,[2]Profile!$D$73,[2]Profile!$D$74,[2]Profile!$D$75,[2]Profile!$D$76,[2]Profile!$D$77,[2]Profile!$D$78</definedName>
    <definedName name="__APW_RESTORE_DATA619__" hidden="1">[2]Profile!$D$79,[2]Profile!$D$80,[2]Profile!$D$81,[2]Profile!$D$82</definedName>
    <definedName name="__APW_RESTORE_DATA620__" hidden="1">[2]Profile!$E$63,[2]Profile!$E$64,[2]Profile!$E$65,[2]Profile!$E$66,[2]Profile!$E$67,[2]Profile!$E$68,[2]Profile!$E$69,[2]Profile!$E$70,[2]Profile!$E$71,[2]Profile!$E$72,[2]Profile!$E$73,[2]Profile!$E$74,[2]Profile!$E$75,[2]Profile!$E$76,[2]Profile!$E$77,[2]Profile!$E$78</definedName>
    <definedName name="__APW_RESTORE_DATA621__" hidden="1">[2]Profile!$E$79,[2]Profile!$E$80,[2]Profile!$E$81,[2]Profile!$E$82</definedName>
    <definedName name="__APW_RESTORE_DATA640__" hidden="1">[2]Data!#REF!,[2]Data!#REF!</definedName>
    <definedName name="__APW_RESTORE_DATA641__" hidden="1">[2]Data!#REF!,[2]Data!#REF!</definedName>
    <definedName name="__APW_RESTORE_DATA642__" hidden="1">[2]Data!#REF!</definedName>
    <definedName name="__APW_RESTORE_DATA643__" hidden="1">[2]Data!#REF!</definedName>
    <definedName name="__APW_RESTORE_DATA644__" hidden="1">[2]Data!#REF!</definedName>
    <definedName name="__APW_RESTORE_DATA645__" hidden="1">[2]Data!#REF!,[2]Data!#REF!</definedName>
    <definedName name="__APW_RESTORE_DATA646__" hidden="1">[2]Data!#REF!,[2]Data!#REF!</definedName>
    <definedName name="__APW_RESTORE_DATA647__" hidden="1">[2]Data!#REF!</definedName>
    <definedName name="__APW_RESTORE_DATA648__" hidden="1">[2]Data!#REF!</definedName>
    <definedName name="__APW_RESTORE_DATA649__" hidden="1">[2]Data!#REF!</definedName>
    <definedName name="__APW_RESTORE_DATA650__" hidden="1">[2]Data!#REF!,[2]Data!#REF!</definedName>
    <definedName name="__APW_RESTORE_DATA651__" hidden="1">[2]Data!#REF!,[2]Data!#REF!</definedName>
    <definedName name="__APW_RESTORE_DATA652__" hidden="1">[2]Data!#REF!</definedName>
    <definedName name="__APW_RESTORE_DATA653__" hidden="1">[2]Data!#REF!</definedName>
    <definedName name="__APW_RESTORE_DATA654__" hidden="1">[2]Data!#REF!</definedName>
    <definedName name="__APW_RESTORE_DATA655__" hidden="1">[2]Data!#REF!,[2]Data!#REF!</definedName>
    <definedName name="__APW_RESTORE_DATA656__" hidden="1">[2]Data!#REF!,[2]Data!#REF!</definedName>
    <definedName name="__APW_RESTORE_DATA657__" hidden="1">[2]Data!#REF!</definedName>
    <definedName name="__APW_RESTORE_DATA658__" hidden="1">[2]Data!#REF!</definedName>
    <definedName name="__APW_RESTORE_DATA659__" hidden="1">[2]Data!#REF!</definedName>
    <definedName name="__APW_RESTORE_DATA660__" hidden="1">[2]Data!#REF!,[2]Data!#REF!</definedName>
    <definedName name="__APW_RESTORE_DATA661__" hidden="1">[2]Data!#REF!,[2]Data!#REF!</definedName>
    <definedName name="__APW_RESTORE_DATA662__" hidden="1">[2]Data!#REF!</definedName>
    <definedName name="__APW_RESTORE_DATA663__" hidden="1">[2]Data!#REF!</definedName>
    <definedName name="__APW_RESTORE_DATA664__" hidden="1">[2]Data!#REF!</definedName>
    <definedName name="__APW_RESTORE_DATA665__" hidden="1">[2]Data!#REF!,[2]Data!#REF!</definedName>
    <definedName name="__APW_RESTORE_DATA666__" hidden="1">[2]Data!#REF!,[2]Data!#REF!</definedName>
    <definedName name="__APW_RESTORE_DATA667__" hidden="1">[2]Data!#REF!</definedName>
    <definedName name="__APW_RESTORE_DATA668__" hidden="1">[2]Data!#REF!</definedName>
    <definedName name="__APW_RESTORE_DATA669__" hidden="1">[2]Data!#REF!</definedName>
    <definedName name="__APW_RESTORE_DATA670__" hidden="1">[2]Data!#REF!,[2]Data!#REF!</definedName>
    <definedName name="__APW_RESTORE_DATA671__" hidden="1">[2]Data!#REF!,[2]Data!#REF!</definedName>
    <definedName name="__APW_RESTORE_DATA672__" hidden="1">[2]Data!#REF!</definedName>
    <definedName name="__APW_RESTORE_DATA673__" hidden="1">[2]Data!#REF!</definedName>
    <definedName name="__APW_RESTORE_DATA674__" hidden="1">[2]Data!#REF!</definedName>
    <definedName name="__APW_RESTORE_DATA675__" hidden="1">[2]Data!#REF!,[2]Data!#REF!</definedName>
    <definedName name="__APW_RESTORE_DATA676__" hidden="1">[2]Data!#REF!,[2]Data!#REF!</definedName>
    <definedName name="__APW_RESTORE_DATA677__" hidden="1">[2]Data!#REF!</definedName>
    <definedName name="__APW_RESTORE_DATA678__" hidden="1">[2]Data!#REF!</definedName>
    <definedName name="__APW_RESTORE_DATA679__" hidden="1">[2]Data!#REF!</definedName>
    <definedName name="__APW_RESTORE_DATA680__" hidden="1">[2]Data!#REF!,[2]Data!#REF!</definedName>
    <definedName name="__APW_RESTORE_DATA681__" hidden="1">[2]Data!#REF!,[2]Data!#REF!</definedName>
    <definedName name="__APW_RESTORE_DATA682__" hidden="1">[2]Data!#REF!</definedName>
    <definedName name="__APW_RESTORE_DATA683__" hidden="1">[2]Data!#REF!</definedName>
    <definedName name="__APW_RESTORE_DATA684__" hidden="1">[2]Data!#REF!</definedName>
    <definedName name="__APW_RESTORE_DATA685__" hidden="1">[2]Data!#REF!,[2]Data!#REF!</definedName>
    <definedName name="__APW_RESTORE_DATA686__" hidden="1">[2]Data!#REF!,[2]Data!#REF!</definedName>
    <definedName name="__APW_RESTORE_DATA687__" hidden="1">[2]Data!#REF!</definedName>
    <definedName name="__APW_RESTORE_DATA688__" hidden="1">[2]Data!#REF!</definedName>
    <definedName name="__APW_RESTORE_DATA689__" hidden="1">[2]Data!#REF!</definedName>
    <definedName name="__APW_RESTORE_DATA690__" hidden="1">[2]Data!#REF!,[2]Data!#REF!</definedName>
    <definedName name="__APW_RESTORE_DATA691__" hidden="1">[2]Data!#REF!,[2]Data!#REF!</definedName>
    <definedName name="__APW_RESTORE_DATA692__" hidden="1">[2]Data!#REF!</definedName>
    <definedName name="__APW_RESTORE_DATA693__" hidden="1">[2]Data!#REF!</definedName>
    <definedName name="__APW_RESTORE_DATA694__" hidden="1">[2]Data!#REF!</definedName>
    <definedName name="__APW_RESTORE_DATA695__" hidden="1">[2]Data!#REF!,[2]Data!#REF!</definedName>
    <definedName name="__APW_RESTORE_DATA696__" hidden="1">[2]Data!#REF!,[2]Data!#REF!</definedName>
    <definedName name="__APW_RESTORE_DATA697__" hidden="1">[2]Data!#REF!</definedName>
    <definedName name="__APW_RESTORE_DATA698__" hidden="1">[2]Data!#REF!</definedName>
    <definedName name="__APW_RESTORE_DATA699__" hidden="1">[2]Data!#REF!</definedName>
    <definedName name="__APW_RESTORE_DATA755__" hidden="1">[2]Data!#REF!,[2]Data!#REF!</definedName>
    <definedName name="__APW_RESTORE_DATA756__" hidden="1">[2]Data!#REF!,[2]Data!#REF!</definedName>
    <definedName name="__APW_RESTORE_DATA757__" hidden="1">[2]Data!#REF!</definedName>
    <definedName name="__APW_RESTORE_DATA758__" hidden="1">[2]Data!#REF!</definedName>
    <definedName name="__APW_RESTORE_DATA759__" hidden="1">[2]Data!#REF!</definedName>
    <definedName name="__APW_RESTORE_DATA760__" hidden="1">[2]Data!#REF!,[2]Data!#REF!</definedName>
    <definedName name="__APW_RESTORE_DATA761__" hidden="1">[2]Data!#REF!,[2]Data!#REF!</definedName>
    <definedName name="__APW_RESTORE_DATA762__" hidden="1">[2]Data!#REF!</definedName>
    <definedName name="__APW_RESTORE_DATA763__" hidden="1">[2]Data!#REF!</definedName>
    <definedName name="__APW_RESTORE_DATA764__" hidden="1">[2]Data!#REF!</definedName>
    <definedName name="__APW_RESTORE_DATA765__" hidden="1">[2]Data!#REF!,[2]Data!#REF!</definedName>
    <definedName name="__APW_RESTORE_DATA766__" hidden="1">[2]Data!#REF!,[2]Data!#REF!</definedName>
    <definedName name="__APW_RESTORE_DATA767__" hidden="1">[2]Data!#REF!</definedName>
    <definedName name="__APW_RESTORE_DATA768__" hidden="1">[2]Data!#REF!</definedName>
    <definedName name="__APW_RESTORE_DATA769__" hidden="1">[2]Data!#REF!</definedName>
    <definedName name="__APW_RESTORE_DATA770__" hidden="1">[2]Data!#REF!,[2]Data!#REF!</definedName>
    <definedName name="__APW_RESTORE_DATA771__" hidden="1">[2]Data!#REF!,[2]Data!#REF!</definedName>
    <definedName name="__APW_RESTORE_DATA772__" hidden="1">[2]Data!#REF!</definedName>
    <definedName name="__APW_RESTORE_DATA773__" hidden="1">[2]Data!#REF!</definedName>
    <definedName name="__APW_RESTORE_DATA774__" hidden="1">[2]Data!#REF!</definedName>
    <definedName name="__APW_RESTORE_DATA775__" hidden="1">[2]Data!#REF!,[2]Data!#REF!</definedName>
    <definedName name="__APW_RESTORE_DATA776__" hidden="1">[2]Data!#REF!,[2]Data!#REF!</definedName>
    <definedName name="__APW_RESTORE_DATA777__" hidden="1">[2]Data!#REF!</definedName>
    <definedName name="__APW_RESTORE_DATA778__" hidden="1">[2]Data!#REF!</definedName>
    <definedName name="__APW_RESTORE_DATA779__" hidden="1">[2]Data!#REF!</definedName>
    <definedName name="__APW_RESTORE_DATA780__" hidden="1">[2]Data!#REF!,[2]Data!#REF!</definedName>
    <definedName name="__APW_RESTORE_DATA781__" hidden="1">[2]Data!#REF!,[2]Data!#REF!</definedName>
    <definedName name="__APW_RESTORE_DATA782__" hidden="1">[2]Data!#REF!</definedName>
    <definedName name="__APW_RESTORE_DATA783__" hidden="1">[2]Data!#REF!</definedName>
    <definedName name="__APW_RESTORE_DATA784__" hidden="1">[2]Data!#REF!</definedName>
    <definedName name="__APW_RESTORE_DATA785__" hidden="1">[2]Data!#REF!,[2]Data!#REF!</definedName>
    <definedName name="__APW_RESTORE_DATA786__" hidden="1">[2]Data!#REF!,[2]Data!#REF!</definedName>
    <definedName name="__APW_RESTORE_DATA787__" hidden="1">[2]Data!#REF!</definedName>
    <definedName name="__APW_RESTORE_DATA788__" hidden="1">[2]Data!#REF!</definedName>
    <definedName name="__APW_RESTORE_DATA789__" hidden="1">[2]Data!#REF!</definedName>
    <definedName name="__APW_RESTORE_DATA790__" hidden="1">[2]Data!#REF!,[2]Data!#REF!</definedName>
    <definedName name="__APW_RESTORE_DATA791__" hidden="1">[2]Data!#REF!,[2]Data!#REF!</definedName>
    <definedName name="__APW_RESTORE_DATA792__" hidden="1">[2]Data!#REF!</definedName>
    <definedName name="__APW_RESTORE_DATA793__" hidden="1">[2]Data!#REF!</definedName>
    <definedName name="__APW_RESTORE_DATA794__" hidden="1">[2]Data!#REF!</definedName>
    <definedName name="__APW_RESTORE_DATA795__" hidden="1">[2]Data!#REF!,[2]Data!#REF!</definedName>
    <definedName name="__APW_RESTORE_DATA796__" hidden="1">[2]Data!#REF!,[2]Data!#REF!</definedName>
    <definedName name="__APW_RESTORE_DATA797__" hidden="1">[2]Data!#REF!</definedName>
    <definedName name="__APW_RESTORE_DATA798__" hidden="1">[2]Data!#REF!</definedName>
    <definedName name="__APW_RESTORE_DATA799__" hidden="1">[2]Data!#REF!</definedName>
    <definedName name="__APW_RESTORE_DATA800__" hidden="1">[2]Data!#REF!,[2]Data!#REF!</definedName>
    <definedName name="__APW_RESTORE_DATA801__" hidden="1">[2]Data!#REF!,[2]Data!#REF!</definedName>
    <definedName name="__APW_RESTORE_DATA802__" hidden="1">[2]Data!#REF!</definedName>
    <definedName name="__APW_RESTORE_DATA803__" hidden="1">[2]Data!#REF!</definedName>
    <definedName name="__APW_RESTORE_DATA804__" hidden="1">[2]Data!#REF!</definedName>
    <definedName name="__APW_RESTORE_DATA805__" hidden="1">[2]Data!#REF!,[2]Data!#REF!</definedName>
    <definedName name="__APW_RESTORE_DATA806__" hidden="1">[2]Data!#REF!,[2]Data!#REF!</definedName>
    <definedName name="__APW_RESTORE_DATA807__" hidden="1">[2]Data!#REF!</definedName>
    <definedName name="__APW_RESTORE_DATA808__" hidden="1">[2]Data!#REF!</definedName>
    <definedName name="__APW_RESTORE_DATA809__" hidden="1">[2]Data!#REF!</definedName>
    <definedName name="__APW_RESTORE_DATA810__" hidden="1">[2]Data!#REF!,[2]Data!#REF!</definedName>
    <definedName name="__APW_RESTORE_DATA811__" hidden="1">[2]Data!#REF!,[2]Data!#REF!</definedName>
    <definedName name="__APW_RESTORE_DATA812__" hidden="1">[2]Data!#REF!</definedName>
    <definedName name="__APW_RESTORE_DATA813__" hidden="1">[2]Data!#REF!</definedName>
    <definedName name="__APW_RESTORE_DATA814__" hidden="1">[2]Data!#REF!</definedName>
    <definedName name="__APW_RESTORE_DATA870__" hidden="1">[2]Data!#REF!</definedName>
    <definedName name="__APW_RESTORE_DATA871__" hidden="1">[2]Data!#REF!</definedName>
    <definedName name="__APW_RESTORE_DATA872__" hidden="1">[2]Data!#REF!</definedName>
    <definedName name="__APW_RESTORE_DATA873__" hidden="1">[2]Data!#REF!</definedName>
    <definedName name="__APW_RESTORE_DATA874__" hidden="1">[2]Data!#REF!</definedName>
    <definedName name="__APW_RESTORE_DATA875__" hidden="1">[2]Data!#REF!</definedName>
    <definedName name="__APW_RESTORE_DATA876__" hidden="1">[2]Data!#REF!</definedName>
    <definedName name="__APW_RESTORE_DATA877__" hidden="1">[2]Data!#REF!</definedName>
    <definedName name="__APW_RESTORE_DATA878__" hidden="1">[2]Data!#REF!</definedName>
    <definedName name="__APW_RESTORE_DATA879__" hidden="1">[2]Data!#REF!</definedName>
    <definedName name="__APW_RESTORE_DATA880__" hidden="1">[2]Data!#REF!</definedName>
    <definedName name="__APW_RESTORE_DATA881__" hidden="1">[2]Data!#REF!</definedName>
    <definedName name="__APW_RESTORE_DATA882__" hidden="1">[2]Data!#REF!</definedName>
    <definedName name="__APW_RESTORE_DATA883__" hidden="1">[2]Data!#REF!</definedName>
    <definedName name="__APW_RESTORE_DATA884__" hidden="1">[2]Data!#REF!</definedName>
    <definedName name="__APW_RESTORE_DATA885__" hidden="1">[2]Data!#REF!</definedName>
    <definedName name="__APW_RESTORE_DATA886__" hidden="1">[2]Data!#REF!</definedName>
    <definedName name="__APW_RESTORE_DATA887__" hidden="1">[2]Data!#REF!</definedName>
    <definedName name="__APW_RESTORE_DATA888__" hidden="1">[2]Data!#REF!</definedName>
    <definedName name="__APW_RESTORE_DATA889__" hidden="1">[2]Data!#REF!</definedName>
    <definedName name="__APW_RESTORE_DATA890__" hidden="1">[2]Data!#REF!</definedName>
    <definedName name="__APW_RESTORE_DATA891__" hidden="1">[2]Data!#REF!</definedName>
    <definedName name="__APW_RESTORE_DATA892__" hidden="1">[2]Data!#REF!</definedName>
    <definedName name="__APW_RESTORE_DATA893__" hidden="1">[2]Data!#REF!</definedName>
    <definedName name="__APW_RESTORE_DATA894__" hidden="1">[2]Data!#REF!</definedName>
    <definedName name="__APW_RESTORE_DATA895__" hidden="1">[2]Data!#REF!</definedName>
    <definedName name="__APW_RESTORE_DATA896__" hidden="1">[2]Data!#REF!</definedName>
    <definedName name="__APW_RESTORE_DATA897__" hidden="1">[2]Data!#REF!</definedName>
    <definedName name="__APW_RESTORE_DATA898__" hidden="1">[2]Data!#REF!</definedName>
    <definedName name="__APW_RESTORE_DATA899__" hidden="1">[2]Data!#REF!</definedName>
    <definedName name="__APW_RESTORE_DATA900__" hidden="1">[2]Data!#REF!</definedName>
    <definedName name="__APW_RESTORE_DATA901__" hidden="1">[2]Data!#REF!</definedName>
    <definedName name="__APW_RESTORE_DATA902__" hidden="1">[2]Data!#REF!</definedName>
    <definedName name="__APW_RESTORE_DATA903__" hidden="1">[2]Data!#REF!</definedName>
    <definedName name="__APW_RESTORE_DATA904__" hidden="1">[2]Data!#REF!</definedName>
    <definedName name="__APW_RESTORE_DATA905__" hidden="1">[2]Data!#REF!</definedName>
    <definedName name="__APW_RESTORE_DATA906__" hidden="1">[2]Data!#REF!</definedName>
    <definedName name="__APW_RESTORE_DATA907__" hidden="1">[2]Data!#REF!</definedName>
    <definedName name="__APW_RESTORE_DATA908__" hidden="1">[2]Data!#REF!</definedName>
    <definedName name="__APW_RESTORE_DATA909__" hidden="1">[2]Data!#REF!</definedName>
    <definedName name="__APW_RESTORE_DATA910__" hidden="1">[2]Data!#REF!</definedName>
    <definedName name="__APW_RESTORE_DATA911__" hidden="1">[2]Data!#REF!</definedName>
    <definedName name="__APW_RESTORE_DATA912__" hidden="1">[2]Data!#REF!</definedName>
    <definedName name="__APW_RESTORE_DATA913__" hidden="1">[2]Data!#REF!</definedName>
    <definedName name="__APW_RESTORE_DATA914__" hidden="1">[2]Data!#REF!</definedName>
    <definedName name="__APW_RESTORE_DATA915__" hidden="1">[2]Data!#REF!</definedName>
    <definedName name="__APW_RESTORE_DATA916__" hidden="1">[2]Data!#REF!</definedName>
    <definedName name="__APW_RESTORE_DATA917__" hidden="1">[2]Data!#REF!</definedName>
    <definedName name="__APW_RESTORE_DATA918__" hidden="1">[2]Data!#REF!</definedName>
    <definedName name="__APW_RESTORE_DATA919__" hidden="1">[2]Data!#REF!</definedName>
    <definedName name="__APW_RESTORE_DATA920__" hidden="1">[2]Data!#REF!</definedName>
    <definedName name="__APW_RESTORE_DATA921__" hidden="1">[2]Data!#REF!</definedName>
    <definedName name="__APW_RESTORE_DATA922__" hidden="1">[2]Data!#REF!</definedName>
    <definedName name="__APW_RESTORE_DATA923__" hidden="1">[2]Data!#REF!</definedName>
    <definedName name="__APW_RESTORE_DATA924__" hidden="1">[2]Data!#REF!</definedName>
    <definedName name="__APW_RESTORE_DATA925__" hidden="1">[2]Data!#REF!</definedName>
    <definedName name="__APW_RESTORE_DATA926__" hidden="1">[2]Data!#REF!</definedName>
    <definedName name="__APW_RESTORE_DATA927__" hidden="1">[2]Data!#REF!</definedName>
    <definedName name="__APW_RESTORE_DATA928__" hidden="1">[2]Data!#REF!</definedName>
    <definedName name="__APW_RESTORE_DATA929__" hidden="1">[2]Data!#REF!</definedName>
    <definedName name="__APW_RESTORE_DATA940__" hidden="1">[2]Data!#REF!</definedName>
    <definedName name="__APW_RESTORE_DATA941__" hidden="1">[2]Data!#REF!</definedName>
    <definedName name="__APW_RESTORE_DATA942__" hidden="1">[2]Data!#REF!</definedName>
    <definedName name="__APW_RESTORE_DATA943__" hidden="1">[2]Data!#REF!</definedName>
    <definedName name="__APW_RESTORE_DATA944__" hidden="1">[2]Data!#REF!</definedName>
    <definedName name="__APW_RESTORE_DATA945__" hidden="1">[2]Data!#REF!</definedName>
    <definedName name="__APW_RESTORE_DATA946__" hidden="1">[2]Data!#REF!</definedName>
    <definedName name="__APW_RESTORE_DATA947__" hidden="1">[2]Data!#REF!</definedName>
    <definedName name="__APW_RESTORE_DATA948__" hidden="1">[2]Data!#REF!</definedName>
    <definedName name="__APW_RESTORE_DATA949__" hidden="1">[2]Data!#REF!</definedName>
    <definedName name="__APW_RESTORE_DATA950__" hidden="1">[2]Data!#REF!</definedName>
    <definedName name="__APW_RESTORE_DATA951__" hidden="1">[2]Data!#REF!</definedName>
    <definedName name="__APW_RESTORE_HYPERLINK137__" hidden="1">[2]Data!#REF!</definedName>
    <definedName name="__APW_RESTORE_HYPERLINK138__" hidden="1">[2]Data!#REF!</definedName>
    <definedName name="__APW_RESTORE_HYPERLINK139__" hidden="1">[2]Data!#REF!</definedName>
    <definedName name="__APW_RESTORE_HYPERLINK140__" hidden="1">[2]Data!#REF!</definedName>
    <definedName name="__APW_RESTORE_HYPERLINK141__" hidden="1">[2]Data!#REF!</definedName>
    <definedName name="__APW_RESTORE_HYPERLINK142__" hidden="1">[2]Data!#REF!</definedName>
    <definedName name="__APW_RESTORE_HYPERLINK143__" hidden="1">[2]Data!#REF!</definedName>
    <definedName name="__APW_RESTORE_HYPERLINK144__" hidden="1">[2]Data!#REF!</definedName>
    <definedName name="__APW_RESTORE_HYPERLINK145__" hidden="1">[2]Data!#REF!</definedName>
    <definedName name="__APW_RESTORE_HYPERLINK146__" hidden="1">[2]Data!#REF!</definedName>
    <definedName name="__APW_RESTORE_HYPERLINK147__" hidden="1">[2]Data!#REF!</definedName>
    <definedName name="__APW_RESTORE_HYPERLINK148__" hidden="1">[2]Data!#REF!</definedName>
    <definedName name="__APW_RESTORE_HYPERLINK149__" hidden="1">[2]Data!#REF!</definedName>
    <definedName name="__APW_RESTORE_HYPERLINK150__" hidden="1">[2]Data!#REF!</definedName>
    <definedName name="__APW_RESTORE_HYPERLINK151__" hidden="1">[2]Data!#REF!</definedName>
    <definedName name="__APW_RESTORE_HYPERLINK152__" hidden="1">[2]Data!#REF!</definedName>
    <definedName name="__APW_RESTORE_HYPERLINK153__" hidden="1">[2]Data!#REF!</definedName>
    <definedName name="__APW_RESTORE_HYPERLINK154__" hidden="1">[2]Data!#REF!</definedName>
    <definedName name="__APW_RESTORE_HYPERLINK155__" hidden="1">[2]Data!#REF!</definedName>
    <definedName name="__APW_RESTORE_HYPERLINK156__" hidden="1">[2]Data!#REF!</definedName>
    <definedName name="__APW_RESTORE_HYPERLINK157__" hidden="1">[2]Data!#REF!</definedName>
    <definedName name="__APW_RESTORE_HYPERLINK158__" hidden="1">[2]Data!#REF!</definedName>
    <definedName name="__APW_RESTORE_HYPERLINK159__" hidden="1">[2]Data!#REF!</definedName>
    <definedName name="__APW_RESTORE_HYPERLINK160__" hidden="1">[2]Data!#REF!</definedName>
    <definedName name="__APW_RESTORE_HYPERLINK183__" hidden="1">[2]Data!#REF!</definedName>
    <definedName name="__APW_RESTORE_HYPERLINK184__" hidden="1">[2]Data!#REF!</definedName>
    <definedName name="__APW_RESTORE_HYPERLINK185__" hidden="1">[2]Data!#REF!</definedName>
    <definedName name="__APW_RESTORE_HYPERLINK186__" hidden="1">[2]Data!#REF!</definedName>
    <definedName name="__APW_RESTORE_HYPERLINK187__" hidden="1">[2]Data!#REF!</definedName>
    <definedName name="__APW_RESTORE_HYPERLINK188__" hidden="1">[2]Data!#REF!</definedName>
    <definedName name="__APW_RESTORE_HYPERLINK189__" hidden="1">[2]Data!#REF!</definedName>
    <definedName name="__APW_RESTORE_HYPERLINK190__" hidden="1">[2]Data!#REF!</definedName>
    <definedName name="__APW_RESTORE_HYPERLINK191__" hidden="1">[2]Data!#REF!</definedName>
    <definedName name="__APW_RESTORE_HYPERLINK192__" hidden="1">[2]Data!#REF!</definedName>
    <definedName name="__APW_RESTORE_HYPERLINK193__" hidden="1">[2]Data!#REF!</definedName>
    <definedName name="__APW_RESTORE_HYPERLINK194__" hidden="1">[2]Data!#REF!</definedName>
    <definedName name="__APW_RESTORE_HYPERLINK195__" hidden="1">[2]Data!#REF!</definedName>
    <definedName name="__APW_RESTORE_HYPERLINK196__" hidden="1">[2]Data!#REF!</definedName>
    <definedName name="__APW_RESTORE_HYPERLINK197__" hidden="1">[2]Data!#REF!</definedName>
    <definedName name="__APW_RESTORE_HYPERLINK198__" hidden="1">[2]Data!#REF!</definedName>
    <definedName name="__APW_RESTORE_HYPERLINK199__" hidden="1">[2]Data!#REF!</definedName>
    <definedName name="__APW_RESTORE_HYPERLINK200__" hidden="1">[2]Data!#REF!</definedName>
    <definedName name="__APW_RESTORE_HYPERLINK201__" hidden="1">[2]Data!#REF!</definedName>
    <definedName name="__APW_RESTORE_HYPERLINK202__" hidden="1">[2]Data!#REF!</definedName>
    <definedName name="__APW_RESTORE_HYPERLINK203__" hidden="1">[2]Data!#REF!</definedName>
    <definedName name="__APW_RESTORE_HYPERLINK204__" hidden="1">[2]Data!#REF!</definedName>
    <definedName name="__APW_RESTORE_HYPERLINK205__" hidden="1">[2]Data!#REF!</definedName>
    <definedName name="__APW_RESTORE_HYPERLINK206__" hidden="1">[2]Data!#REF!</definedName>
    <definedName name="__APW_RESTORE_HYPERLINK411__" hidden="1">[2]Data!#REF!</definedName>
    <definedName name="__APW_RESTORE_HYPERLINK412__" hidden="1">[2]Data!#REF!</definedName>
    <definedName name="__APW_RESTORE_HYPERLINK413__" hidden="1">[2]Data!#REF!</definedName>
    <definedName name="__APW_RESTORE_HYPERLINK414__" hidden="1">[2]Data!#REF!</definedName>
    <definedName name="__APW_RESTORE_HYPERLINK415__" hidden="1">[2]Data!#REF!</definedName>
    <definedName name="__APW_RESTORE_HYPERLINK416__" hidden="1">[2]Data!#REF!</definedName>
    <definedName name="__APW_RESTORE_HYPERLINK423__" hidden="1">[2]Data!#REF!</definedName>
    <definedName name="__APW_RESTORE_HYPERLINK424__" hidden="1">[2]Data!#REF!</definedName>
    <definedName name="__APW_RESTORE_HYPERLINK425__" hidden="1">[2]Data!#REF!</definedName>
    <definedName name="__APW_RESTORE_HYPERLINK426__" hidden="1">[2]Data!#REF!</definedName>
    <definedName name="__APW_RESTORE_HYPERLINK427__" hidden="1">[2]Data!#REF!</definedName>
    <definedName name="__APW_RESTORE_HYPERLINK428__" hidden="1">[2]Data!#REF!</definedName>
    <definedName name="__APW_RESTORE_HYPERLINK429__" hidden="1">[2]Data!#REF!</definedName>
    <definedName name="__APW_RESTORE_HYPERLINK430__" hidden="1">[2]Data!#REF!</definedName>
    <definedName name="__APW_RESTORE_HYPERLINK431__" hidden="1">[2]Data!#REF!</definedName>
    <definedName name="__APW_RESTORE_HYPERLINK432__" hidden="1">[2]Data!#REF!</definedName>
    <definedName name="__APW_RESTORE_HYPERLINK433__" hidden="1">[2]Data!#REF!</definedName>
    <definedName name="__APW_RESTORE_HYPERLINK434__" hidden="1">[2]Data!#REF!</definedName>
    <definedName name="__APW_RESTORE_HYPERLINK441__" hidden="1">[2]Data!#REF!</definedName>
    <definedName name="__APW_RESTORE_HYPERLINK442__" hidden="1">[2]Data!#REF!</definedName>
    <definedName name="__APW_RESTORE_HYPERLINK443__" hidden="1">[2]Data!#REF!</definedName>
    <definedName name="__APW_RESTORE_HYPERLINK444__" hidden="1">[2]Data!#REF!</definedName>
    <definedName name="__APW_RESTORE_HYPERLINK445__" hidden="1">[2]Data!#REF!</definedName>
    <definedName name="__APW_RESTORE_HYPERLINK446__" hidden="1">[2]Data!#REF!</definedName>
    <definedName name="__APW_RESTORE_HYPERLINK447__" hidden="1">[2]Data!#REF!</definedName>
    <definedName name="__APW_RESTORE_HYPERLINK448__" hidden="1">[2]Data!#REF!</definedName>
    <definedName name="__APW_RESTORE_HYPERLINK449__" hidden="1">[2]Data!#REF!</definedName>
    <definedName name="__APW_RESTORE_HYPERLINK450__" hidden="1">[2]Data!#REF!</definedName>
    <definedName name="__APW_RESTORE_HYPERLINK451__" hidden="1">[2]Data!#REF!</definedName>
    <definedName name="__APW_RESTORE_HYPERLINK452__" hidden="1">[2]Data!#REF!</definedName>
    <definedName name="__APW_RESTORE_HYPERLINK459__" hidden="1">[2]Data!#REF!</definedName>
    <definedName name="__APW_RESTORE_HYPERLINK460__" hidden="1">[2]Data!#REF!</definedName>
    <definedName name="__APW_RESTORE_HYPERLINK461__" hidden="1">[2]Data!#REF!</definedName>
    <definedName name="__APW_RESTORE_HYPERLINK462__" hidden="1">[2]Data!#REF!</definedName>
    <definedName name="__APW_RESTORE_HYPERLINK463__" hidden="1">[2]Data!#REF!</definedName>
    <definedName name="__APW_RESTORE_HYPERLINK464__" hidden="1">[2]Data!#REF!</definedName>
    <definedName name="__APW_RESTORE_HYPERLINK465__" hidden="1">[2]Data!#REF!</definedName>
    <definedName name="__APW_RESTORE_HYPERLINK466__" hidden="1">[2]Data!#REF!</definedName>
    <definedName name="__APW_RESTORE_HYPERLINK467__" hidden="1">[2]Data!#REF!</definedName>
    <definedName name="__APW_RESTORE_HYPERLINK468__" hidden="1">[2]Data!#REF!</definedName>
    <definedName name="__APW_RESTORE_HYPERLINK469__" hidden="1">[2]Data!#REF!</definedName>
    <definedName name="__APW_RESTORE_HYPERLINK470__" hidden="1">[2]Data!#REF!</definedName>
    <definedName name="__APW_RESTORE_HYPERLINK477__" hidden="1">[2]Data!#REF!</definedName>
    <definedName name="__APW_RESTORE_HYPERLINK478__" hidden="1">[2]Data!#REF!</definedName>
    <definedName name="__APW_RESTORE_HYPERLINK479__" hidden="1">[2]Data!#REF!</definedName>
    <definedName name="__APW_RESTORE_HYPERLINK480__" hidden="1">[2]Data!#REF!</definedName>
    <definedName name="__APW_RESTORE_HYPERLINK481__" hidden="1">[2]Data!#REF!</definedName>
    <definedName name="__APW_RESTORE_HYPERLINK482__" hidden="1">[2]Data!#REF!</definedName>
    <definedName name="__APW_RESTORE_HYPERLINK483__" hidden="1">[2]Data!#REF!</definedName>
    <definedName name="__APW_RESTORE_HYPERLINK484__" hidden="1">[2]Data!#REF!</definedName>
    <definedName name="__APW_RESTORE_HYPERLINK485__" hidden="1">[2]Data!#REF!</definedName>
    <definedName name="__APW_RESTORE_HYPERLINK486__" hidden="1">[2]Data!#REF!</definedName>
    <definedName name="__APW_RESTORE_HYPERLINK487__" hidden="1">[2]Data!#REF!</definedName>
    <definedName name="__APW_RESTORE_HYPERLINK488__" hidden="1">[2]Data!#REF!</definedName>
    <definedName name="__FDS_HYPERLINK_TOGGLE_STATE__" hidden="1">"ON"</definedName>
    <definedName name="__IntlFixup" hidden="1">TRUE</definedName>
    <definedName name="__ra1" hidden="1">{#N/A,#N/A,FALSE,"SP-Intgrp";#N/A,#N/A,FALSE,"SP-Intaus";#N/A,#N/A,FALSE,"SP-IntNZ";#N/A,#N/A,FALSE,"SP-IntInt";#N/A,#N/A,FALSE,"SP-feegrp";#N/A,#N/A,FALSE,"SP-FeeAus";#N/A,#N/A,FALSE,"SP-feeNZ";#N/A,#N/A,FALSE,"SP-FeeInt"}</definedName>
    <definedName name="_1__123Graph_ACHART_1" hidden="1">#N/A</definedName>
    <definedName name="_2__123Graph_ACHART_3" hidden="1">#REF!</definedName>
    <definedName name="_3__123Graph_BCHART_1" hidden="1">#N/A</definedName>
    <definedName name="_4__123Graph_BCHART_3" hidden="1">#REF!</definedName>
    <definedName name="_5__123Graph_DCHART_1" hidden="1">#N/A</definedName>
    <definedName name="_6__123Graph_LBL_ACHART_1" hidden="1">#N/A</definedName>
    <definedName name="_7__123Graph_LBL_ACHART_3" hidden="1">#REF!</definedName>
    <definedName name="_8__123Graph_LBL_DCHART_1" hidden="1">#N/A</definedName>
    <definedName name="_AMO_XmlVersion" hidden="1">"'1'"</definedName>
    <definedName name="_Asset_Class_type" hidden="1">#N/A</definedName>
    <definedName name="_Asset_Domicile_Type" hidden="1">#N/A</definedName>
    <definedName name="_Asset_Listing_Type" hidden="1">#N/A</definedName>
    <definedName name="_BAS2" hidden="1">{#N/A,#N/A,FALSE,"tb";#N/A,#N/A,FALSE,"0500";#N/A,#N/A,FALSE,"0612";#N/A,#N/A,FALSE,"0613";#N/A,#N/A,FALSE,"0614";#N/A,#N/A,FALSE,"0653";#N/A,#N/A,FALSE,"0737";#N/A,#N/A,FALSE,"0760";#N/A,#N/A,FALSE,"0770";#N/A,#N/A,FALSE,"0786"}</definedName>
    <definedName name="_cgt2" hidden="1">{#N/A,#N/A,FALSE,"2873";#N/A,#N/A,FALSE,"2899";#N/A,#N/A,FALSE,"2907";#N/A,#N/A,FALSE,"2999"}</definedName>
    <definedName name="_FI_Currency_Type" hidden="1">#N/A</definedName>
    <definedName name="_FI_Type" hidden="1">#N/A</definedName>
    <definedName name="_Fill" hidden="1">#REF!</definedName>
    <definedName name="_xlnm._FilterDatabase" localSheetId="1" hidden="1">'Group Result'!$A$3:$K$37</definedName>
    <definedName name="_xlnm._FilterDatabase" hidden="1">#REF!</definedName>
    <definedName name="_Key1" hidden="1">#REF!</definedName>
    <definedName name="_Key2" hidden="1">#REF!</definedName>
    <definedName name="_Order1" hidden="1">255</definedName>
    <definedName name="_Order2" hidden="1">255</definedName>
    <definedName name="_ra1" hidden="1">{#N/A,#N/A,FALSE,"SP-Intgrp";#N/A,#N/A,FALSE,"SP-Intaus";#N/A,#N/A,FALSE,"SP-IntNZ";#N/A,#N/A,FALSE,"SP-IntInt";#N/A,#N/A,FALSE,"SP-feegrp";#N/A,#N/A,FALSE,"SP-FeeAus";#N/A,#N/A,FALSE,"SP-feeNZ";#N/A,#N/A,FALSE,"SP-FeeInt"}</definedName>
    <definedName name="_Regression_X" hidden="1">#REF!</definedName>
    <definedName name="_Regression_Y" hidden="1">#REF!</definedName>
    <definedName name="_RET005" hidden="1">{"'ACCRUED EXPENSES '!$B$10:$U$27"}</definedName>
    <definedName name="_RSEList" hidden="1">[3]PARAM!$K$3:$K$5</definedName>
    <definedName name="_Sort" hidden="1">#REF!</definedName>
    <definedName name="_Table2_In1" hidden="1">#REF!</definedName>
    <definedName name="_Table2_In2" hidden="1">#REF!</definedName>
    <definedName name="_Table2_Out" hidden="1">#REF!</definedName>
    <definedName name="aaa" hidden="1">{#N/A,#N/A,FALSE,"tb";#N/A,#N/A,FALSE,"0500";#N/A,#N/A,FALSE,"0612";#N/A,#N/A,FALSE,"0613";#N/A,#N/A,FALSE,"0614";#N/A,#N/A,FALSE,"0653";#N/A,#N/A,FALSE,"0737";#N/A,#N/A,FALSE,"0760";#N/A,#N/A,FALSE,"0770";#N/A,#N/A,FALSE,"0786"}</definedName>
    <definedName name="AAA_DOCTOPS" hidden="1">"AAA_SET"</definedName>
    <definedName name="AAA_duser" hidden="1">"OFF"</definedName>
    <definedName name="aaaaa" hidden="1">[4]Data!#REF!</definedName>
    <definedName name="AAB_Addin5" hidden="1">"AAB_Description for addin 5,Description for addin 5,Description for addin 5,Description for addin 5,Description for addin 5,Description for addin 5"</definedName>
    <definedName name="anscount" hidden="1">1</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sd" hidden="1">#REF!</definedName>
    <definedName name="BAS" hidden="1">{#N/A,#N/A,FALSE,"tb";#N/A,#N/A,FALSE,"0500";#N/A,#N/A,FALSE,"0612";#N/A,#N/A,FALSE,"0613";#N/A,#N/A,FALSE,"0614";#N/A,#N/A,FALSE,"0653";#N/A,#N/A,FALSE,"0737";#N/A,#N/A,FALSE,"0760";#N/A,#N/A,FALSE,"0770";#N/A,#N/A,FALSE,"0786"}</definedName>
    <definedName name="BAScheck" hidden="1">{#N/A,#N/A,FALSE,"8516";#N/A,#N/A,FALSE,"9357-9373";#N/A,#N/A,FALSE,"9688";#N/A,#N/A,FALSE,"9779";#N/A,#N/A,FALSE,"9753"}</definedName>
    <definedName name="bbf" hidden="1">{#N/A,#N/A,FALSE,"8516";#N/A,#N/A,FALSE,"9357-9373";#N/A,#N/A,FALSE,"9688";#N/A,#N/A,FALSE,"9779";#N/A,#N/A,FALSE,"9753"}</definedName>
    <definedName name="bed" hidden="1">{#N/A,#N/A,FALSE,"2873";#N/A,#N/A,FALSE,"2899";#N/A,#N/A,FALSE,"2907";#N/A,#N/A,FALSE,"2999"}</definedName>
    <definedName name="BG_Del" hidden="1">15</definedName>
    <definedName name="BG_Ins" hidden="1">4</definedName>
    <definedName name="BG_Mod" hidden="1">6</definedName>
    <definedName name="BLPB10" hidden="1">[2]Data!#REF!</definedName>
    <definedName name="BLPB100" hidden="1">[2]Data!#REF!</definedName>
    <definedName name="BLPB102" hidden="1">[2]Data!#REF!</definedName>
    <definedName name="BLPB103" hidden="1">[2]Data!#REF!</definedName>
    <definedName name="BLPB105" hidden="1">[2]Data!#REF!</definedName>
    <definedName name="BLPB106" hidden="1">[2]Data!#REF!</definedName>
    <definedName name="BLPB107" hidden="1">[2]Data!#REF!</definedName>
    <definedName name="BLPB110" hidden="1">[2]Data!#REF!</definedName>
    <definedName name="BLPB111" hidden="1">[2]Data!#REF!</definedName>
    <definedName name="BLPB112" hidden="1">[2]Data!#REF!</definedName>
    <definedName name="BLPB114" hidden="1">[2]Data!#REF!</definedName>
    <definedName name="BLPB115" hidden="1">[2]Data!#REF!</definedName>
    <definedName name="BLPB116" hidden="1">[2]Data!#REF!</definedName>
    <definedName name="BLPB118" hidden="1">[2]Data!#REF!</definedName>
    <definedName name="BLPB119" hidden="1">[2]Data!#REF!</definedName>
    <definedName name="BLPB12" hidden="1">[2]Data!#REF!</definedName>
    <definedName name="BLPB121" hidden="1">[2]Data!#REF!</definedName>
    <definedName name="BLPB122" hidden="1">[2]Data!#REF!</definedName>
    <definedName name="BLPB123" hidden="1">[2]Data!#REF!</definedName>
    <definedName name="BLPB124" hidden="1">[2]Data!#REF!</definedName>
    <definedName name="BLPB125" hidden="1">[2]Data!#REF!</definedName>
    <definedName name="BLPB128" hidden="1">[2]Data!#REF!</definedName>
    <definedName name="BLPB129" hidden="1">[2]Data!#REF!</definedName>
    <definedName name="BLPB13" hidden="1">[2]Data!#REF!</definedName>
    <definedName name="BLPB130" hidden="1">[2]Data!#REF!</definedName>
    <definedName name="BLPB131" hidden="1">[2]Data!#REF!</definedName>
    <definedName name="BLPB134" hidden="1">[2]Data!#REF!</definedName>
    <definedName name="BLPB135" hidden="1">[2]Data!#REF!</definedName>
    <definedName name="BLPB136" hidden="1">[2]Data!#REF!</definedName>
    <definedName name="BLPB137" hidden="1">[2]Data!#REF!</definedName>
    <definedName name="BLPB140" hidden="1">[2]Data!#REF!</definedName>
    <definedName name="BLPB141" hidden="1">[2]Data!#REF!</definedName>
    <definedName name="BLPB142" hidden="1">[2]Data!#REF!</definedName>
    <definedName name="BLPB143" hidden="1">[2]Data!#REF!</definedName>
    <definedName name="BLPB146" hidden="1">[2]Data!#REF!</definedName>
    <definedName name="BLPB147" hidden="1">[2]Data!#REF!</definedName>
    <definedName name="BLPB148" hidden="1">[2]Data!#REF!</definedName>
    <definedName name="BLPB149" hidden="1">[2]Data!#REF!</definedName>
    <definedName name="BLPB15" hidden="1">[2]Data!#REF!</definedName>
    <definedName name="BLPB152" hidden="1">[2]Data!#REF!</definedName>
    <definedName name="BLPB153" hidden="1">[2]Data!#REF!</definedName>
    <definedName name="BLPB154" hidden="1">[2]Data!#REF!</definedName>
    <definedName name="BLPB155" hidden="1">[2]Data!#REF!</definedName>
    <definedName name="BLPB16" hidden="1">[2]Data!#REF!</definedName>
    <definedName name="BLPB160" hidden="1">[2]Data!#REF!</definedName>
    <definedName name="BLPB161" hidden="1">[2]Data!#REF!</definedName>
    <definedName name="BLPB162" hidden="1">[2]Data!#REF!</definedName>
    <definedName name="BLPB163" hidden="1">[2]Data!#REF!</definedName>
    <definedName name="BLPB164" hidden="1">[2]Data!#REF!</definedName>
    <definedName name="BLPB165" hidden="1">[2]Data!#REF!</definedName>
    <definedName name="BLPB166" hidden="1">[2]Data!#REF!</definedName>
    <definedName name="BLPB167" hidden="1">[2]Data!#REF!</definedName>
    <definedName name="BLPB172" hidden="1">[2]Data!#REF!</definedName>
    <definedName name="BLPB173" hidden="1">[2]Data!#REF!</definedName>
    <definedName name="BLPB174" hidden="1">[2]Data!#REF!</definedName>
    <definedName name="BLPB175" hidden="1">[2]Data!#REF!</definedName>
    <definedName name="BLPB176" hidden="1">[2]Data!#REF!</definedName>
    <definedName name="BLPB177" hidden="1">[2]Data!#REF!</definedName>
    <definedName name="BLPB178" hidden="1">[2]Data!#REF!</definedName>
    <definedName name="BLPB18" hidden="1">[2]Data!#REF!</definedName>
    <definedName name="BLPB183" hidden="1">[2]Data!#REF!</definedName>
    <definedName name="BLPB184" hidden="1">[2]Data!#REF!</definedName>
    <definedName name="BLPB185" hidden="1">[2]Data!#REF!</definedName>
    <definedName name="BLPB186" hidden="1">[2]Data!#REF!</definedName>
    <definedName name="BLPB187" hidden="1">[2]Data!#REF!</definedName>
    <definedName name="BLPB188" hidden="1">[2]Data!#REF!</definedName>
    <definedName name="BLPB189" hidden="1">[2]Data!#REF!</definedName>
    <definedName name="BLPB192" hidden="1">[2]Data!#REF!</definedName>
    <definedName name="BLPB195" hidden="1">[2]Data!#REF!</definedName>
    <definedName name="BLPB196" hidden="1">[2]Data!#REF!</definedName>
    <definedName name="BLPB197" hidden="1">[2]Data!#REF!</definedName>
    <definedName name="BLPB198" hidden="1">[2]Data!#REF!</definedName>
    <definedName name="BLPB199" hidden="1">[2]Data!#REF!</definedName>
    <definedName name="BLPB2" hidden="1">[2]Data!#REF!</definedName>
    <definedName name="BLPB20" hidden="1">[2]Data!#REF!</definedName>
    <definedName name="BLPB200" hidden="1">[2]Data!#REF!</definedName>
    <definedName name="BLPB203" hidden="1">[2]Data!#REF!</definedName>
    <definedName name="BLPB204" hidden="1">[2]Data!#REF!</definedName>
    <definedName name="BLPB207" hidden="1">[2]Data!#REF!</definedName>
    <definedName name="BLPB208" hidden="1">[2]Data!#REF!</definedName>
    <definedName name="BLPB209" hidden="1">[2]Data!#REF!</definedName>
    <definedName name="BLPB21" hidden="1">[2]Data!#REF!</definedName>
    <definedName name="BLPB210" hidden="1">[2]Data!#REF!</definedName>
    <definedName name="BLPB211" hidden="1">[2]Data!#REF!</definedName>
    <definedName name="BLPB212" hidden="1">[2]Data!#REF!</definedName>
    <definedName name="BLPB215" hidden="1">[2]Data!#REF!</definedName>
    <definedName name="BLPB216" hidden="1">[2]Data!#REF!</definedName>
    <definedName name="BLPB219" hidden="1">[2]Data!#REF!</definedName>
    <definedName name="BLPB22" hidden="1">[2]Data!#REF!</definedName>
    <definedName name="BLPB220" hidden="1">[2]Data!#REF!</definedName>
    <definedName name="BLPB221" hidden="1">[2]Data!#REF!</definedName>
    <definedName name="BLPB222" hidden="1">[2]Data!#REF!</definedName>
    <definedName name="BLPB223" hidden="1">[2]Data!#REF!</definedName>
    <definedName name="BLPB224" hidden="1">[2]Data!#REF!</definedName>
    <definedName name="BLPB226" hidden="1">[2]Data!#REF!</definedName>
    <definedName name="BLPB228" hidden="1">[2]Data!#REF!</definedName>
    <definedName name="BLPB231" hidden="1">[2]Data!#REF!</definedName>
    <definedName name="BLPB232" hidden="1">[2]Data!#REF!</definedName>
    <definedName name="BLPB233" hidden="1">[2]Data!#REF!</definedName>
    <definedName name="BLPB234" hidden="1">[2]Data!#REF!</definedName>
    <definedName name="BLPB235" hidden="1">[2]Data!#REF!</definedName>
    <definedName name="BLPB236" hidden="1">[2]Data!#REF!</definedName>
    <definedName name="BLPB238" hidden="1">[2]Data!#REF!</definedName>
    <definedName name="BLPB24" hidden="1">[2]Data!#REF!</definedName>
    <definedName name="BLPB240" hidden="1">[2]Data!#REF!</definedName>
    <definedName name="BLPB243" hidden="1">[2]Data!#REF!</definedName>
    <definedName name="BLPB244" hidden="1">[2]Data!#REF!</definedName>
    <definedName name="BLPB245" hidden="1">[2]Data!#REF!</definedName>
    <definedName name="BLPB246" hidden="1">[2]Data!#REF!</definedName>
    <definedName name="BLPB247" hidden="1">[2]Data!#REF!</definedName>
    <definedName name="BLPB248" hidden="1">[2]Data!#REF!</definedName>
    <definedName name="BLPB25" hidden="1">[2]Data!#REF!</definedName>
    <definedName name="BLPB250" hidden="1">[2]Data!#REF!</definedName>
    <definedName name="BLPB252" hidden="1">[2]Data!#REF!</definedName>
    <definedName name="BLPB255" hidden="1">[2]Data!#REF!</definedName>
    <definedName name="BLPB257" hidden="1">[2]Data!#REF!</definedName>
    <definedName name="BLPB258" hidden="1">[2]Data!#REF!</definedName>
    <definedName name="BLPB259" hidden="1">[2]Data!#REF!</definedName>
    <definedName name="BLPB261" hidden="1">[2]Data!#REF!</definedName>
    <definedName name="BLPB262" hidden="1">[2]Data!#REF!</definedName>
    <definedName name="BLPB263" hidden="1">[2]Data!#REF!</definedName>
    <definedName name="BLPB265" hidden="1">[2]Data!#REF!</definedName>
    <definedName name="BLPB266" hidden="1">[2]Data!#REF!</definedName>
    <definedName name="BLPB267" hidden="1">[2]Data!#REF!</definedName>
    <definedName name="BLPB268" hidden="1">[2]Data!#REF!</definedName>
    <definedName name="BLPB269" hidden="1">[2]Data!#REF!</definedName>
    <definedName name="BLPB27" hidden="1">[2]Data!#REF!</definedName>
    <definedName name="BLPB272" hidden="1">[2]Data!#REF!</definedName>
    <definedName name="BLPB274" hidden="1">[2]Data!#REF!</definedName>
    <definedName name="BLPB277" hidden="1">[2]Data!#REF!</definedName>
    <definedName name="BLPB278" hidden="1">[2]Data!#REF!</definedName>
    <definedName name="BLPB279" hidden="1">[2]Data!#REF!</definedName>
    <definedName name="BLPB28" hidden="1">[2]Data!#REF!</definedName>
    <definedName name="BLPB281" hidden="1">[2]Data!#REF!</definedName>
    <definedName name="BLPB282" hidden="1">[2]Data!#REF!</definedName>
    <definedName name="BLPB283" hidden="1">[2]Data!#REF!</definedName>
    <definedName name="BLPB285" hidden="1">[2]Data!#REF!</definedName>
    <definedName name="BLPB286" hidden="1">[2]Data!#REF!</definedName>
    <definedName name="BLPB287" hidden="1">[2]Data!#REF!</definedName>
    <definedName name="BLPB288" hidden="1">[2]Data!#REF!</definedName>
    <definedName name="BLPB289" hidden="1">[2]Data!#REF!</definedName>
    <definedName name="BLPB292" hidden="1">[2]Data!#REF!</definedName>
    <definedName name="BLPB294" hidden="1">[2]Data!#REF!</definedName>
    <definedName name="BLPB297" hidden="1">[2]Data!#REF!</definedName>
    <definedName name="BLPB299" hidden="1">[2]Data!#REF!</definedName>
    <definedName name="BLPB3" hidden="1">[2]Data!#REF!</definedName>
    <definedName name="BLPB30" hidden="1">[2]Data!#REF!</definedName>
    <definedName name="BLPB300" hidden="1">[2]Data!#REF!</definedName>
    <definedName name="BLPB301" hidden="1">[2]Data!#REF!</definedName>
    <definedName name="BLPB302" hidden="1">[2]Data!#REF!</definedName>
    <definedName name="BLPB303" hidden="1">[2]Data!#REF!</definedName>
    <definedName name="BLPB305" hidden="1">[2]Data!#REF!</definedName>
    <definedName name="BLPB306" hidden="1">[2]Data!#REF!</definedName>
    <definedName name="BLPB307" hidden="1">[2]Data!#REF!</definedName>
    <definedName name="BLPB308" hidden="1">[2]Data!#REF!</definedName>
    <definedName name="BLPB309" hidden="1">[2]Data!#REF!</definedName>
    <definedName name="BLPB31" hidden="1">[2]Data!#REF!</definedName>
    <definedName name="BLPB311" hidden="1">[2]Data!#REF!</definedName>
    <definedName name="BLPB315" hidden="1">[2]Data!#REF!</definedName>
    <definedName name="BLPB317" hidden="1">[2]Data!#REF!</definedName>
    <definedName name="BLPB318" hidden="1">[2]Data!#REF!</definedName>
    <definedName name="BLPB319" hidden="1">[2]Data!#REF!</definedName>
    <definedName name="BLPB320" hidden="1">[2]Data!#REF!</definedName>
    <definedName name="BLPB321" hidden="1">[2]Data!#REF!</definedName>
    <definedName name="BLPB322" hidden="1">[2]Data!#REF!</definedName>
    <definedName name="BLPB323" hidden="1">[2]Data!#REF!</definedName>
    <definedName name="BLPB324" hidden="1">[2]Data!#REF!</definedName>
    <definedName name="BLPB325" hidden="1">[2]Data!#REF!</definedName>
    <definedName name="BLPB326" hidden="1">[2]Data!#REF!</definedName>
    <definedName name="BLPB327" hidden="1">[2]Data!#REF!</definedName>
    <definedName name="BLPB33" hidden="1">[2]Data!#REF!</definedName>
    <definedName name="BLPB330" hidden="1">[2]Data!#REF!</definedName>
    <definedName name="BLPB331" hidden="1">[2]Data!#REF!</definedName>
    <definedName name="BLPB333" hidden="1">[2]Data!#REF!</definedName>
    <definedName name="BLPB337" hidden="1">[2]Data!#REF!</definedName>
    <definedName name="BLPB338" hidden="1">[2]Data!#REF!</definedName>
    <definedName name="BLPB339" hidden="1">[2]Data!#REF!</definedName>
    <definedName name="BLPB34" hidden="1">[2]Data!#REF!</definedName>
    <definedName name="BLPB341" hidden="1">[2]Data!#REF!</definedName>
    <definedName name="BLPB342" hidden="1">[2]Data!#REF!</definedName>
    <definedName name="BLPB343" hidden="1">[2]Data!#REF!</definedName>
    <definedName name="BLPB344" hidden="1">[2]Data!#REF!</definedName>
    <definedName name="BLPB345" hidden="1">[2]Data!#REF!</definedName>
    <definedName name="BLPB346" hidden="1">[2]Data!#REF!</definedName>
    <definedName name="BLPB347" hidden="1">[2]Data!#REF!</definedName>
    <definedName name="BLPB348" hidden="1">[2]Data!#REF!</definedName>
    <definedName name="BLPB349" hidden="1">[2]Data!#REF!</definedName>
    <definedName name="BLPB350" hidden="1">[2]Data!#REF!</definedName>
    <definedName name="BLPB351" hidden="1">[2]Data!#REF!</definedName>
    <definedName name="BLPB352" hidden="1">[2]Data!#REF!</definedName>
    <definedName name="BLPB353" hidden="1">[2]Data!#REF!</definedName>
    <definedName name="BLPB354" hidden="1">[2]Data!#REF!</definedName>
    <definedName name="BLPB355" hidden="1">[2]Data!#REF!</definedName>
    <definedName name="BLPB356" hidden="1">[2]Data!#REF!</definedName>
    <definedName name="BLPB357" hidden="1">[2]Data!#REF!</definedName>
    <definedName name="BLPB359" hidden="1">[2]Data!#REF!</definedName>
    <definedName name="BLPB36" hidden="1">[2]Data!#REF!</definedName>
    <definedName name="BLPB360" hidden="1">[2]Data!#REF!</definedName>
    <definedName name="BLPB362" hidden="1">[2]Data!#REF!</definedName>
    <definedName name="BLPB365" hidden="1">[2]Data!#REF!</definedName>
    <definedName name="BLPB366" hidden="1">[2]Data!#REF!</definedName>
    <definedName name="BLPB368" hidden="1">[2]Data!#REF!</definedName>
    <definedName name="BLPB369" hidden="1">[2]Data!#REF!</definedName>
    <definedName name="BLPB37" hidden="1">[2]Data!#REF!</definedName>
    <definedName name="BLPB370" hidden="1">[2]Data!#REF!</definedName>
    <definedName name="BLPB371" hidden="1">[2]Data!#REF!</definedName>
    <definedName name="BLPB372" hidden="1">[2]Data!#REF!</definedName>
    <definedName name="BLPB373" hidden="1">[2]Data!#REF!</definedName>
    <definedName name="BLPB374" hidden="1">[2]Data!#REF!</definedName>
    <definedName name="BLPB375" hidden="1">[2]Data!#REF!</definedName>
    <definedName name="BLPB376" hidden="1">[2]Data!#REF!</definedName>
    <definedName name="BLPB377" hidden="1">[2]Data!#REF!</definedName>
    <definedName name="BLPB378" hidden="1">[2]Data!#REF!</definedName>
    <definedName name="BLPB379" hidden="1">[2]Data!#REF!</definedName>
    <definedName name="BLPB380" hidden="1">[2]Data!#REF!</definedName>
    <definedName name="BLPB381" hidden="1">[2]Data!#REF!</definedName>
    <definedName name="BLPB382" hidden="1">[2]Data!#REF!</definedName>
    <definedName name="BLPB383" hidden="1">[2]Data!#REF!</definedName>
    <definedName name="BLPB385" hidden="1">[2]Data!#REF!</definedName>
    <definedName name="BLPB388" hidden="1">[2]Data!#REF!</definedName>
    <definedName name="BLPB389" hidden="1">[2]Data!#REF!</definedName>
    <definedName name="BLPB39" hidden="1">[2]Data!#REF!</definedName>
    <definedName name="BLPB391" hidden="1">[2]Data!#REF!</definedName>
    <definedName name="BLPB392" hidden="1">[2]Data!#REF!</definedName>
    <definedName name="BLPB393" hidden="1">[2]Data!#REF!</definedName>
    <definedName name="BLPB394" hidden="1">[2]Data!#REF!</definedName>
    <definedName name="BLPB395" hidden="1">[2]Data!#REF!</definedName>
    <definedName name="BLPB396" hidden="1">[2]Data!#REF!</definedName>
    <definedName name="BLPB397" hidden="1">[2]Data!#REF!</definedName>
    <definedName name="BLPB398" hidden="1">[2]Data!#REF!</definedName>
    <definedName name="BLPB399" hidden="1">[2]Data!#REF!</definedName>
    <definedName name="BLPB4" hidden="1">[2]Data!#REF!</definedName>
    <definedName name="BLPB40" hidden="1">[2]Data!#REF!</definedName>
    <definedName name="BLPB400" hidden="1">[2]Data!#REF!</definedName>
    <definedName name="BLPB401" hidden="1">[2]Data!#REF!</definedName>
    <definedName name="BLPB402" hidden="1">[2]Data!#REF!</definedName>
    <definedName name="BLPB403" hidden="1">[2]Data!#REF!</definedName>
    <definedName name="BLPB404" hidden="1">[2]Data!#REF!</definedName>
    <definedName name="BLPB405" hidden="1">[2]Data!#REF!</definedName>
    <definedName name="BLPB406" hidden="1">[2]Data!#REF!</definedName>
    <definedName name="BLPB408" hidden="1">[2]Data!#REF!</definedName>
    <definedName name="BLPB409" hidden="1">[2]Data!#REF!</definedName>
    <definedName name="BLPB410" hidden="1">[2]Data!#REF!</definedName>
    <definedName name="BLPB411" hidden="1">[2]Data!#REF!</definedName>
    <definedName name="BLPB413" hidden="1">[2]Data!#REF!</definedName>
    <definedName name="BLPB416" hidden="1">[2]Data!#REF!</definedName>
    <definedName name="BLPB417" hidden="1">[2]Data!#REF!</definedName>
    <definedName name="BLPB419" hidden="1">[2]Data!#REF!</definedName>
    <definedName name="BLPB42" hidden="1">[2]Data!#REF!</definedName>
    <definedName name="BLPB420" hidden="1">[2]Data!#REF!</definedName>
    <definedName name="BLPB421" hidden="1">[2]Data!#REF!</definedName>
    <definedName name="BLPB422" hidden="1">[2]Data!#REF!</definedName>
    <definedName name="BLPB423" hidden="1">[2]Data!#REF!</definedName>
    <definedName name="BLPB424" hidden="1">[2]Data!#REF!</definedName>
    <definedName name="BLPB425" hidden="1">[2]Data!#REF!</definedName>
    <definedName name="BLPB426" hidden="1">[2]Data!#REF!</definedName>
    <definedName name="BLPB427" hidden="1">[2]Data!#REF!</definedName>
    <definedName name="BLPB428" hidden="1">[2]Data!#REF!</definedName>
    <definedName name="BLPB429" hidden="1">[2]Data!#REF!</definedName>
    <definedName name="BLPB43" hidden="1">[2]Data!#REF!</definedName>
    <definedName name="BLPB430" hidden="1">[2]Data!#REF!</definedName>
    <definedName name="BLPB431" hidden="1">[2]Data!#REF!</definedName>
    <definedName name="BLPB433" hidden="1">[2]Data!#REF!</definedName>
    <definedName name="BLPB434" hidden="1">[2]Data!#REF!</definedName>
    <definedName name="BLPB435" hidden="1">[2]Data!#REF!</definedName>
    <definedName name="BLPB436" hidden="1">[2]Data!#REF!</definedName>
    <definedName name="BLPB437" hidden="1">[2]Data!#REF!</definedName>
    <definedName name="BLPB438" hidden="1">[2]Data!#REF!</definedName>
    <definedName name="BLPB439" hidden="1">[2]Data!#REF!</definedName>
    <definedName name="BLPB441" hidden="1">[2]Data!#REF!</definedName>
    <definedName name="BLPB443" hidden="1">[2]Data!#REF!</definedName>
    <definedName name="BLPB445" hidden="1">[2]Data!#REF!</definedName>
    <definedName name="BLPB447" hidden="1">[2]Data!#REF!</definedName>
    <definedName name="BLPB448" hidden="1">[2]Data!#REF!</definedName>
    <definedName name="BLPB449" hidden="1">[2]Data!#REF!</definedName>
    <definedName name="BLPB45" hidden="1">[2]Data!#REF!</definedName>
    <definedName name="BLPB450" hidden="1">[2]Data!#REF!</definedName>
    <definedName name="BLPB451" hidden="1">[2]Data!#REF!</definedName>
    <definedName name="BLPB452" hidden="1">[2]Data!#REF!</definedName>
    <definedName name="BLPB453" hidden="1">[2]Data!#REF!</definedName>
    <definedName name="BLPB454" hidden="1">[2]Data!#REF!</definedName>
    <definedName name="BLPB455" hidden="1">[2]Data!#REF!</definedName>
    <definedName name="BLPB456" hidden="1">[2]Data!#REF!</definedName>
    <definedName name="BLPB457" hidden="1">[2]Data!#REF!</definedName>
    <definedName name="BLPB458" hidden="1">[2]Data!#REF!</definedName>
    <definedName name="BLPB459" hidden="1">[2]Data!#REF!</definedName>
    <definedName name="BLPB46" hidden="1">[2]Data!#REF!</definedName>
    <definedName name="BLPB461" hidden="1">[2]Data!#REF!</definedName>
    <definedName name="BLPB462" hidden="1">[2]Data!#REF!</definedName>
    <definedName name="BLPB463" hidden="1">[2]Data!#REF!</definedName>
    <definedName name="BLPB464" hidden="1">[2]Data!#REF!</definedName>
    <definedName name="BLPB465" hidden="1">[2]Data!#REF!</definedName>
    <definedName name="BLPB466" hidden="1">[2]Data!#REF!</definedName>
    <definedName name="BLPB467" hidden="1">[2]Data!#REF!</definedName>
    <definedName name="BLPB469" hidden="1">[2]Data!#REF!</definedName>
    <definedName name="BLPB471" hidden="1">[2]Data!#REF!</definedName>
    <definedName name="BLPB472" hidden="1">[2]Data!#REF!</definedName>
    <definedName name="BLPB475" hidden="1">[2]Data!#REF!</definedName>
    <definedName name="BLPB476" hidden="1">[2]Data!#REF!</definedName>
    <definedName name="BLPB477" hidden="1">[2]Data!#REF!</definedName>
    <definedName name="BLPB478" hidden="1">[2]Data!#REF!</definedName>
    <definedName name="BLPB479" hidden="1">[2]Data!#REF!</definedName>
    <definedName name="BLPB48" hidden="1">[2]Data!#REF!</definedName>
    <definedName name="BLPB480" hidden="1">[2]Data!#REF!</definedName>
    <definedName name="BLPB481" hidden="1">[2]Data!#REF!</definedName>
    <definedName name="BLPB482" hidden="1">[2]Data!#REF!</definedName>
    <definedName name="BLPB483" hidden="1">[2]Data!#REF!</definedName>
    <definedName name="BLPB484" hidden="1">[2]Data!#REF!</definedName>
    <definedName name="BLPB485" hidden="1">[2]Data!#REF!</definedName>
    <definedName name="BLPB486" hidden="1">[2]Data!#REF!</definedName>
    <definedName name="BLPB487" hidden="1">[2]Data!#REF!</definedName>
    <definedName name="BLPB489" hidden="1">[2]Data!#REF!</definedName>
    <definedName name="BLPB49" hidden="1">[2]Data!#REF!</definedName>
    <definedName name="BLPB490" hidden="1">[2]Data!#REF!</definedName>
    <definedName name="BLPB491" hidden="1">[2]Data!#REF!</definedName>
    <definedName name="BLPB492" hidden="1">[2]Data!#REF!</definedName>
    <definedName name="BLPB493" hidden="1">[2]Data!#REF!</definedName>
    <definedName name="BLPB494" hidden="1">[2]Data!#REF!</definedName>
    <definedName name="BLPB495" hidden="1">[2]Data!#REF!</definedName>
    <definedName name="BLPB498" hidden="1">[2]Profile!#REF!</definedName>
    <definedName name="BLPB499" hidden="1">[2]Profile!#REF!</definedName>
    <definedName name="BLPB5" hidden="1">[2]Data!#REF!</definedName>
    <definedName name="BLPB51" hidden="1">[2]Data!#REF!</definedName>
    <definedName name="BLPB52" hidden="1">[2]Data!#REF!</definedName>
    <definedName name="BLPB54" hidden="1">[2]Data!#REF!</definedName>
    <definedName name="BLPB55" hidden="1">[2]Data!#REF!</definedName>
    <definedName name="BLPB57" hidden="1">[2]Data!#REF!</definedName>
    <definedName name="BLPB58" hidden="1">[2]Data!#REF!</definedName>
    <definedName name="BLPB6" hidden="1">[2]Data!#REF!</definedName>
    <definedName name="BLPB60" hidden="1">[2]Data!#REF!</definedName>
    <definedName name="BLPB61" hidden="1">[2]Data!#REF!</definedName>
    <definedName name="BLPB63" hidden="1">[2]Data!#REF!</definedName>
    <definedName name="BLPB64" hidden="1">[2]Data!#REF!</definedName>
    <definedName name="BLPB66" hidden="1">[2]Data!#REF!</definedName>
    <definedName name="BLPB67" hidden="1">[2]Data!#REF!</definedName>
    <definedName name="BLPB69" hidden="1">[2]Data!#REF!</definedName>
    <definedName name="BLPB70" hidden="1">[2]Data!#REF!</definedName>
    <definedName name="BLPB72" hidden="1">[2]Data!#REF!</definedName>
    <definedName name="BLPB73" hidden="1">[2]Data!#REF!</definedName>
    <definedName name="BLPB75" hidden="1">[2]Data!#REF!</definedName>
    <definedName name="BLPB76" hidden="1">[2]Data!#REF!</definedName>
    <definedName name="BLPB78" hidden="1">[2]Data!#REF!</definedName>
    <definedName name="BLPB79" hidden="1">[2]Data!#REF!</definedName>
    <definedName name="BLPB81" hidden="1">[2]Data!#REF!</definedName>
    <definedName name="BLPB82" hidden="1">[2]Data!#REF!</definedName>
    <definedName name="BLPB83" hidden="1">[2]Data!#REF!</definedName>
    <definedName name="BLPB86" hidden="1">[2]Data!#REF!</definedName>
    <definedName name="BLPB87" hidden="1">[2]Data!#REF!</definedName>
    <definedName name="BLPB88" hidden="1">[2]Data!#REF!</definedName>
    <definedName name="BLPB9" hidden="1">[2]Data!#REF!</definedName>
    <definedName name="BLPB90" hidden="1">[2]Data!#REF!</definedName>
    <definedName name="BLPB91" hidden="1">[2]Data!#REF!</definedName>
    <definedName name="BLPB92" hidden="1">[2]Data!#REF!</definedName>
    <definedName name="BLPB94" hidden="1">[2]Data!#REF!</definedName>
    <definedName name="BLPB95" hidden="1">[2]Data!#REF!</definedName>
    <definedName name="BLPB97" hidden="1">[2]Data!#REF!</definedName>
    <definedName name="BLPB99" hidden="1">[2]Data!#REF!</definedName>
    <definedName name="BLPH19" hidden="1">[5]Input!#REF!</definedName>
    <definedName name="BLPH4" hidden="1">[5]Input!#REF!</definedName>
    <definedName name="BLPH5" hidden="1">[5]Input!#REF!</definedName>
    <definedName name="BNE_MESSAGES_HIDDEN" hidden="1">#REF!</definedName>
    <definedName name="Comparable" hidden="1">{"First Page",#N/A,FALSE,"Surfactants LBO";"Second Page",#N/A,FALSE,"Surfactants LBO"}</definedName>
    <definedName name="CS" hidden="1">#REF!</definedName>
    <definedName name="dbffd" hidden="1">{#N/A,#N/A,FALSE,"tb";#N/A,#N/A,FALSE,"0414 - 0455";#N/A,#N/A,FALSE,"0612";#N/A,#N/A,FALSE,"0653";#N/A,#N/A,FALSE,"0760";#N/A,#N/A,FALSE,"0786";#N/A,#N/A,FALSE,"2014-app";#N/A,#N/A,FALSE,"2014-red";#N/A,#N/A,FALSE,"2030";#N/A,#N/A,FALSE,"2360";#N/A,#N/A,FALSE,"2907";#N/A,#N/A,FALSE,"5009";#N/A,#N/A,FALSE,"5306";#N/A,#N/A,FALSE,"5751";#N/A,#N/A,FALSE,"8557";#N/A,#N/A,FALSE,"9357-9373"}</definedName>
    <definedName name="df" hidden="1">{#N/A,#N/A,FALSE,"2014-app";#N/A,#N/A,FALSE,"2014-red";#N/A,#N/A,FALSE,"2014-fee";#N/A,#N/A,FALSE,"2030";#N/A,#N/A,FALSE,"2048";#N/A,#N/A,FALSE,"2360"}</definedName>
    <definedName name="DFS" hidden="1">{#N/A,#N/A,FALSE,"Leaders";#N/A,#N/A,FALSE,"AustEquityPool";#N/A,#N/A,FALSE,"Resources";#N/A,#N/A,FALSE,"Emerging Leaders ";#N/A,#N/A,FALSE,"WOP";#N/A,#N/A,FALSE,"Balanced";#N/A,#N/A,FALSE,"Fixed Interest";#N/A,#N/A,FALSE,"IncomePlus";#N/A,#N/A,FALSE,"Investment";#N/A,#N/A,FALSE,"IHAT"}</definedName>
    <definedName name="DME_BeforeCloseCompleted" hidden="1">"False"</definedName>
    <definedName name="DME_Dirty" hidden="1">"False"</definedName>
    <definedName name="DME_LocalFile" hidden="1">"True"</definedName>
    <definedName name="dsfds" hidden="1">{#N/A,#N/A,FALSE,"Cashdy";#N/A,#N/A,FALSE,"TMF";#N/A,#N/A,FALSE,"TTEI";#N/A,#N/A,FALSE,"TASF";#N/A,#N/A,FALSE,"TBF";#N/A,#N/A,FALSE,"MOR2";#N/A,#N/A,FALSE,"TSCG";#N/A,#N/A,FALSE,"REST";#N/A,#N/A,FALSE,"BLUE";#N/A,#N/A,FALSE,"GREEN";#N/A,#N/A,FALSE,"AST";#N/A,#N/A,FALSE,"BEN";#N/A,#N/A,FALSE,"MAN";#N/A,#N/A,FALSE,"MAN"}</definedName>
    <definedName name="DSFS" hidden="1">{#N/A,#N/A,FALSE,"MID-AssetAllocation";#N/A,#N/A,FALSE,"MID-WSCT";#N/A,#N/A,FALSE,"MID-Overseas";#N/A,#N/A,FALSE,"MID-EquityAllocation";#N/A,#N/A,FALSE,"MID-FundSizes"}</definedName>
    <definedName name="earl" hidden="1">{#N/A,#N/A,TRUE,"finstat";#N/A,#N/A,TRUE,"SUM ACCTG POL";#N/A,#N/A,TRUE,"Review of ops";#N/A,#N/A,TRUE,"6 Prems";#N/A,#N/A,TRUE,"7-INVREV";#N/A,#N/A,TRUE,"8 Claims";#N/A,#N/A,TRUE,"9-EXPS";#N/A,#N/A,TRUE,"10-POL LIAB";#N/A,#N/A,TRUE,"11-TAX";#N/A,#N/A,TRUE,"14-DFA";#N/A,#N/A,TRUE,"17-INVEST PROP";#N/A,#N/A,TRUE,"21-NCA's";#N/A,#N/A,TRUE,"22-CONT ENTS";#N/A,#N/A,TRUE,"24-CREDITORS";#N/A,#N/A,TRUE,"25 - PROVNS";#N/A,#N/A,TRUE,"32-REL PARTIES";#N/A,#N/A,TRUE,"35-COMMIT"}</definedName>
    <definedName name="ED" hidden="1">{#N/A,#N/A,TRUE,"finstat";#N/A,#N/A,TRUE,"SUM ACCTG POL";#N/A,#N/A,TRUE,"Review of ops";#N/A,#N/A,TRUE,"6 Prems";#N/A,#N/A,TRUE,"7-INVREV";#N/A,#N/A,TRUE,"8 Claims";#N/A,#N/A,TRUE,"9-EXPS";#N/A,#N/A,TRUE,"10-POL LIAB";#N/A,#N/A,TRUE,"11-TAX";#N/A,#N/A,TRUE,"14-DFA";#N/A,#N/A,TRUE,"17-INVEST PROP";#N/A,#N/A,TRUE,"21-NCA's";#N/A,#N/A,TRUE,"22-CONT ENTS";#N/A,#N/A,TRUE,"24-CREDITORS";#N/A,#N/A,TRUE,"25 - PROVNS";#N/A,#N/A,TRUE,"32-REL PARTIES";#N/A,#N/A,TRUE,"35-COMMIT"}</definedName>
    <definedName name="EWOK" hidden="1">{#N/A,#N/A,FALSE,"5009";#N/A,#N/A,FALSE,"5050";#N/A,#N/A,FALSE,"5058";#N/A,#N/A,FALSE,"5306";#N/A,#N/A,FALSE,"5314";#N/A,#N/A,FALSE,"5355";#N/A,#N/A,FALSE,"5751"}</definedName>
    <definedName name="fdfds" hidden="1">{#N/A,#N/A,FALSE,"Cashdy";#N/A,#N/A,FALSE,"TMF";#N/A,#N/A,FALSE,"TTEI";#N/A,#N/A,FALSE,"TASF";#N/A,#N/A,FALSE,"TBF";#N/A,#N/A,FALSE,"MOR2";#N/A,#N/A,FALSE,"TSCG";#N/A,#N/A,FALSE,"REST";#N/A,#N/A,FALSE,"BLUE";#N/A,#N/A,FALSE,"GREEN";#N/A,#N/A,FALSE,"AST";#N/A,#N/A,FALSE,"BEN";#N/A,#N/A,FALSE,"MAN";#N/A,#N/A,FALSE,"MAN"}</definedName>
    <definedName name="ffdffd" hidden="1">{#N/A,#N/A,FALSE,"SP-Intgrp";#N/A,#N/A,FALSE,"SP-Intaus";#N/A,#N/A,FALSE,"SP-IntNZ";#N/A,#N/A,FALSE,"SP-IntInt";#N/A,#N/A,FALSE,"SP-feegrp";#N/A,#N/A,FALSE,"SP-FeeAus";#N/A,#N/A,FALSE,"SP-feeNZ";#N/A,#N/A,FALSE,"SP-FeeInt"}</definedName>
    <definedName name="fgdsg" hidden="1">{#N/A,#N/A,FALSE,"8516";#N/A,#N/A,FALSE,"9357-9373";#N/A,#N/A,FALSE,"9688";#N/A,#N/A,FALSE,"9779";#N/A,#N/A,FALSE,"9753"}</definedName>
    <definedName name="fgjhfg" hidden="1">{#N/A,#N/A,FALSE,"2014-app";#N/A,#N/A,FALSE,"2014-red";#N/A,#N/A,FALSE,"2014-fee";#N/A,#N/A,FALSE,"2030";#N/A,#N/A,FALSE,"2048";#N/A,#N/A,FALSE,"2360"}</definedName>
    <definedName name="frth" hidden="1">{#N/A,#N/A,FALSE,"2873";#N/A,#N/A,FALSE,"2899";#N/A,#N/A,FALSE,"2907";#N/A,#N/A,FALSE,"2999"}</definedName>
    <definedName name="Fuck" hidden="1">{#N/A,#N/A,FALSE,"CBDIVBT";#N/A,#N/A,FALSE,"CBDIVJP";#N/A,#N/A,FALSE,"CBDIVTE"}</definedName>
    <definedName name="gfhrjd" hidden="1">{#N/A,#N/A,FALSE,"SP-Intgrp";#N/A,#N/A,FALSE,"SP-Intaus";#N/A,#N/A,FALSE,"SP-IntNZ";#N/A,#N/A,FALSE,"SP-IntInt";#N/A,#N/A,FALSE,"SP-feegrp";#N/A,#N/A,FALSE,"SP-FeeAus";#N/A,#N/A,FALSE,"SP-feeNZ";#N/A,#N/A,FALSE,"SP-FeeInt"}</definedName>
    <definedName name="Group_Charts_Chart_12_Label" hidden="1">[6]GSChartLabels!$A$1:$A$6</definedName>
    <definedName name="gvds" hidden="1">{#N/A,#N/A,FALSE,"2873";#N/A,#N/A,FALSE,"2899";#N/A,#N/A,FALSE,"2907";#N/A,#N/A,FALSE,"2999"}</definedName>
    <definedName name="HTML_CodePage" hidden="1">1252</definedName>
    <definedName name="HTML_Control" hidden="1">{"'Sheet1'!$B$1:$R$20"}</definedName>
    <definedName name="HTML_Description" hidden="1">""</definedName>
    <definedName name="HTML_Email" hidden="1">""</definedName>
    <definedName name="HTML_Header" hidden="1">"Advice Solns"</definedName>
    <definedName name="HTML_LastUpdate" hidden="1">"7/04/2004"</definedName>
    <definedName name="HTML_LineAfter" hidden="1">FALSE</definedName>
    <definedName name="HTML_LineBefore" hidden="1">FALSE</definedName>
    <definedName name="HTML_Name" hidden="1">"Andi"</definedName>
    <definedName name="HTML_OBDlg2" hidden="1">TRUE</definedName>
    <definedName name="HTML_OBDlg4" hidden="1">TRUE</definedName>
    <definedName name="HTML_OS" hidden="1">0</definedName>
    <definedName name="HTML_PathFile" hidden="1">"C:\AF\scorecard\MyHTML2.htm"</definedName>
    <definedName name="HTML_Title" hidden="1">"AdviceSoln_scorecard3"</definedName>
    <definedName name="iou" hidden="1">{#N/A,#N/A,FALSE,"5009";#N/A,#N/A,FALSE,"5050";#N/A,#N/A,FALSE,"5058";#N/A,#N/A,FALSE,"5306";#N/A,#N/A,FALSE,"5314";#N/A,#N/A,FALSE,"5355";#N/A,#N/A,FALSE,"5751"}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39282.745625</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oy" hidden="1">{#N/A,#N/A,FALSE,"5009";#N/A,#N/A,FALSE,"5050";#N/A,#N/A,FALSE,"5058";#N/A,#N/A,FALSE,"5306";#N/A,#N/A,FALSE,"5314";#N/A,#N/A,FALSE,"5355";#N/A,#N/A,FALSE,"5751"}</definedName>
    <definedName name="LComparable" hidden="1">{"First Page",#N/A,FALSE,"Surfactants LBO";"Second Page",#N/A,FALSE,"Surfactants LBO"}</definedName>
    <definedName name="llllll" hidden="1">{#N/A,#N/A,FALSE,"5009";#N/A,#N/A,FALSE,"5050";#N/A,#N/A,FALSE,"5058";#N/A,#N/A,FALSE,"5306";#N/A,#N/A,FALSE,"5314";#N/A,#N/A,FALSE,"5355";#N/A,#N/A,FALSE,"5751"}</definedName>
    <definedName name="Lnew_w" hidden="1">{"comps1_1",#N/A,FALSE,"Comps1";"comps1_2",#N/A,FALSE,"Comps1";"comps1_3",#N/A,FALSE,"Comps1";"comps1_4",#N/A,FALSE,"Comps1";"comps1_5",#N/A,FALSE,"Comps1"}</definedName>
    <definedName name="lskdnfg" hidden="1">{#N/A,#N/A,FALSE,"Cashdy";#N/A,#N/A,FALSE,"TMF";#N/A,#N/A,FALSE,"TTEI";#N/A,#N/A,FALSE,"TASF";#N/A,#N/A,FALSE,"TBF";#N/A,#N/A,FALSE,"MOR2";#N/A,#N/A,FALSE,"TSCG";#N/A,#N/A,FALSE,"REST";#N/A,#N/A,FALSE,"BLUE";#N/A,#N/A,FALSE,"GREEN";#N/A,#N/A,FALSE,"AST";#N/A,#N/A,FALSE,"BEN";#N/A,#N/A,FALSE,"MAN";#N/A,#N/A,FALSE,"MAN"}</definedName>
    <definedName name="lw" hidden="1">{"comps1_1",#N/A,FALSE,"Comps1";"comps1_2",#N/A,FALSE,"Comps1";"comps1_3",#N/A,FALSE,"Comps1";"comps1_4",#N/A,FALSE,"Comps1";"comps1_5",#N/A,FALSE,"Comps1"}</definedName>
    <definedName name="ma" hidden="1">{#N/A,#N/A,FALSE,"tb";#N/A,#N/A,FALSE,"0500";#N/A,#N/A,FALSE,"0612";#N/A,#N/A,FALSE,"0613";#N/A,#N/A,FALSE,"0614";#N/A,#N/A,FALSE,"0653";#N/A,#N/A,FALSE,"0737";#N/A,#N/A,FALSE,"0760";#N/A,#N/A,FALSE,"0770";#N/A,#N/A,FALSE,"0786"}</definedName>
    <definedName name="maika" hidden="1">{#N/A,#N/A,FALSE,"Cashdy";#N/A,#N/A,FALSE,"TMF";#N/A,#N/A,FALSE,"TTEI";#N/A,#N/A,FALSE,"TASF";#N/A,#N/A,FALSE,"TBF";#N/A,#N/A,FALSE,"MOR2";#N/A,#N/A,FALSE,"TSCG";#N/A,#N/A,FALSE,"REST";#N/A,#N/A,FALSE,"BLUE";#N/A,#N/A,FALSE,"GREEN";#N/A,#N/A,FALSE,"AST";#N/A,#N/A,FALSE,"BEN";#N/A,#N/A,FALSE,"MAN";#N/A,#N/A,FALSE,"MAN"}</definedName>
    <definedName name="manfees" hidden="1">{#N/A,#N/A,FALSE,"8516";#N/A,#N/A,FALSE,"9357-9373";#N/A,#N/A,FALSE,"9688";#N/A,#N/A,FALSE,"9779";#N/A,#N/A,FALSE,"9753"}</definedName>
    <definedName name="MSTt" hidden="1">{#N/A,#N/A,FALSE,"CBDIVBT";#N/A,#N/A,FALSE,"CBDIVJP";#N/A,#N/A,FALSE,"CBDIVTE"}</definedName>
    <definedName name="new_w" hidden="1">{"comps1_1",#N/A,FALSE,"Comps1";"comps1_2",#N/A,FALSE,"Comps1";"comps1_3",#N/A,FALSE,"Comps1";"comps1_4",#N/A,FALSE,"Comps1";"comps1_5",#N/A,FALSE,"Comps1"}</definedName>
    <definedName name="NII" hidden="1">{"Page 1",#N/A,FALSE,"Sheet1";"Page 2",#N/A,FALSE,"Sheet1"}</definedName>
    <definedName name="OK" hidden="1">{"analyst",#N/A,FALSE,"Result";"Index",#N/A,FALSE,"Index";"asx1",#N/A,FALSE,"ASX1";"asx2",#N/A,FALSE,"ASX2";"Review",#N/A,FALSE,"Review";"Analyst",#N/A,FALSE,"Analyst"}</definedName>
    <definedName name="OK_1" hidden="1">{"analyst",#N/A,FALSE,"Result";"Index",#N/A,FALSE,"Index";"asx1",#N/A,FALSE,"ASX1";"asx2",#N/A,FALSE,"ASX2";"Review",#N/A,FALSE,"Review";"Analyst",#N/A,FALSE,"Analyst"}</definedName>
    <definedName name="oxford" hidden="1">{#N/A,#N/A,FALSE,"5009";#N/A,#N/A,FALSE,"5050";#N/A,#N/A,FALSE,"5058";#N/A,#N/A,FALSE,"5306";#N/A,#N/A,FALSE,"5314";#N/A,#N/A,FALSE,"5355";#N/A,#N/A,FALSE,"5751"}</definedName>
    <definedName name="PATRIICA" hidden="1">{#N/A,#N/A,FALSE,"2014-app";#N/A,#N/A,FALSE,"2014-red";#N/A,#N/A,FALSE,"2014-fee";#N/A,#N/A,FALSE,"2030";#N/A,#N/A,FALSE,"2048";#N/A,#N/A,FALSE,"2360"}</definedName>
    <definedName name="_xlnm.Print_Area" localSheetId="2">Advice!$A$1:$L$26</definedName>
    <definedName name="_xlnm.Print_Area" localSheetId="13">'Asset Allocation'!$A$1:$L$19</definedName>
    <definedName name="_xlnm.Print_Area" localSheetId="4">'Asset Management'!$A$1:$L$31</definedName>
    <definedName name="_xlnm.Print_Area" localSheetId="10">'Balance Sheet'!$A$1:$L$41</definedName>
    <definedName name="_xlnm.Print_Area" localSheetId="11">'Cash Flows'!$A$1:$L$47</definedName>
    <definedName name="_xlnm.Print_Area" localSheetId="5">Corporate!$A$1:$L$19</definedName>
    <definedName name="_xlnm.Print_Area" localSheetId="12">Debt!$A$1:$L$29</definedName>
    <definedName name="_xlnm.Print_Area" localSheetId="6">'Disc Ops'!$A$1:$L$70</definedName>
    <definedName name="_xlnm.Print_Area" localSheetId="0">Disclaimer!$A$1:$K$7</definedName>
    <definedName name="_xlnm.Print_Area" localSheetId="7">FUMA!$A$1:$O$72</definedName>
    <definedName name="_xlnm.Print_Area" localSheetId="1">'Group Result'!$A$1:$L$109</definedName>
    <definedName name="_xlnm.Print_Area" localSheetId="3">Platforms!$A$1:$L$31</definedName>
    <definedName name="_xlnm.Print_Area" localSheetId="14">Ratios!$A$1:$H$52</definedName>
    <definedName name="_xlnm.Print_Area" localSheetId="8">Remediation!$A$1:$L$27</definedName>
    <definedName name="_xlnm.Print_Area" localSheetId="9">UNPAT!$A$1:$L$29</definedName>
    <definedName name="_xlnm.Print_Titles" localSheetId="2">Advice!$1:$2</definedName>
    <definedName name="_xlnm.Print_Titles" localSheetId="4">'Asset Management'!$1:$2</definedName>
    <definedName name="_xlnm.Print_Titles" localSheetId="10">'Balance Sheet'!$1:$2</definedName>
    <definedName name="_xlnm.Print_Titles" localSheetId="11">'Cash Flows'!$1:$2</definedName>
    <definedName name="_xlnm.Print_Titles" localSheetId="6">'Disc Ops'!$1:$2</definedName>
    <definedName name="_xlnm.Print_Titles" localSheetId="0">Disclaimer!$1:$2</definedName>
    <definedName name="_xlnm.Print_Titles" localSheetId="7">FUMA!$1:$2</definedName>
    <definedName name="_xlnm.Print_Titles" localSheetId="1">'Group Result'!$1:$2</definedName>
    <definedName name="_xlnm.Print_Titles" localSheetId="3">Platforms!$1:$2</definedName>
    <definedName name="_xlnm.Print_Titles" localSheetId="14">Ratios!$1:$2</definedName>
    <definedName name="qq" hidden="1">{#N/A,#N/A,FALSE,"2873";#N/A,#N/A,FALSE,"2899";#N/A,#N/A,FALSE,"2907";#N/A,#N/A,FALSE,"2999"}</definedName>
    <definedName name="ra" hidden="1">{#N/A,#N/A,FALSE,"SP-Intgrp";#N/A,#N/A,FALSE,"SP-Intaus";#N/A,#N/A,FALSE,"SP-IntNZ";#N/A,#N/A,FALSE,"SP-IntInt";#N/A,#N/A,FALSE,"SP-feegrp";#N/A,#N/A,FALSE,"SP-FeeAus";#N/A,#N/A,FALSE,"SP-feeNZ";#N/A,#N/A,FALSE,"SP-FeeInt"}</definedName>
    <definedName name="results" hidden="1">{"Page 1",#N/A,FALSE,"Sheet1";"Page 2",#N/A,FALSE,"Sheet1"}</definedName>
    <definedName name="rf" hidden="1">{#N/A,#N/A,FALSE,"SP-Intgrp";#N/A,#N/A,FALSE,"SP-Intaus";#N/A,#N/A,FALSE,"SP-IntNZ";#N/A,#N/A,FALSE,"SP-IntInt"}</definedName>
    <definedName name="rp" hidden="1">{#N/A,#N/A,FALSE,"SP-Intgrp";#N/A,#N/A,FALSE,"SP-Intaus";#N/A,#N/A,FALSE,"SP-IntNZ";#N/A,#N/A,FALSE,"SP-IntInt"}</definedName>
    <definedName name="rr" hidden="1">{#N/A,#N/A,FALSE,"5009";#N/A,#N/A,FALSE,"5050";#N/A,#N/A,FALSE,"5058";#N/A,#N/A,FALSE,"5306";#N/A,#N/A,FALSE,"5314";#N/A,#N/A,FALSE,"5355";#N/A,#N/A,FALSE,"5751"}</definedName>
    <definedName name="rs" hidden="1">{#N/A,#N/A,FALSE,"SP-Intgrp";#N/A,#N/A,FALSE,"SP-Intaus";#N/A,#N/A,FALSE,"SP-IntNZ";#N/A,#N/A,FALSE,"SP-IntInt";#N/A,#N/A,FALSE,"SP-feegrp";#N/A,#N/A,FALSE,"SP-FeeAus";#N/A,#N/A,FALSE,"SP-feeNZ";#N/A,#N/A,FALSE,"SP-FeeInt"}</definedName>
    <definedName name="rt" hidden="1">{#N/A,#N/A,FALSE,"SP-Intgrp";#N/A,#N/A,FALSE,"SP-Intaus";#N/A,#N/A,FALSE,"SP-IntNZ";#N/A,#N/A,FALSE,"SP-IntInt"}</definedName>
    <definedName name="saddddd" hidden="1">{#N/A,#N/A,FALSE,"5009";#N/A,#N/A,FALSE,"5050";#N/A,#N/A,FALSE,"5058";#N/A,#N/A,FALSE,"5306";#N/A,#N/A,FALSE,"5314";#N/A,#N/A,FALSE,"5355";#N/A,#N/A,FALSE,"5751"}</definedName>
    <definedName name="sadsa" hidden="1">{#N/A,#N/A,FALSE,"tb";#N/A,#N/A,FALSE,"0500";#N/A,#N/A,FALSE,"0612";#N/A,#N/A,FALSE,"0613";#N/A,#N/A,FALSE,"0614";#N/A,#N/A,FALSE,"0653";#N/A,#N/A,FALSE,"0737";#N/A,#N/A,FALSE,"0760";#N/A,#N/A,FALSE,"0770";#N/A,#N/A,FALSE,"0786"}</definedName>
    <definedName name="SAPBEXhrIndnt" hidden="1">"Wide"</definedName>
    <definedName name="SAPsysID" hidden="1">"708C5W7SBKP804JT78WJ0JNKI"</definedName>
    <definedName name="SAPwbID" hidden="1">"ARS"</definedName>
    <definedName name="sdf" hidden="1">{#N/A,#N/A,FALSE,"5009";#N/A,#N/A,FALSE,"5050";#N/A,#N/A,FALSE,"5058";#N/A,#N/A,FALSE,"5306";#N/A,#N/A,FALSE,"5314";#N/A,#N/A,FALSE,"5355";#N/A,#N/A,FALSE,"5751"}</definedName>
    <definedName name="sdfds" hidden="1">{#N/A,#N/A,FALSE,"8516";#N/A,#N/A,FALSE,"9357-9373";#N/A,#N/A,FALSE,"9688";#N/A,#N/A,FALSE,"9779";#N/A,#N/A,FALSE,"9753"}</definedName>
    <definedName name="sdfv" hidden="1">{#N/A,#N/A,FALSE,"2014-app";#N/A,#N/A,FALSE,"2014-red";#N/A,#N/A,FALSE,"2014-fee";#N/A,#N/A,FALSE,"2030";#N/A,#N/A,FALSE,"2048";#N/A,#N/A,FALSE,"2360"}</definedName>
    <definedName name="sdg" hidden="1">{#N/A,#N/A,FALSE,"tb";#N/A,#N/A,FALSE,"0414 - 0455";#N/A,#N/A,FALSE,"0612";#N/A,#N/A,FALSE,"0653";#N/A,#N/A,FALSE,"0760";#N/A,#N/A,FALSE,"0786";#N/A,#N/A,FALSE,"2014-app";#N/A,#N/A,FALSE,"2014-red";#N/A,#N/A,FALSE,"2030";#N/A,#N/A,FALSE,"2360";#N/A,#N/A,FALSE,"2907";#N/A,#N/A,FALSE,"5009";#N/A,#N/A,FALSE,"5306";#N/A,#N/A,FALSE,"5751";#N/A,#N/A,FALSE,"8557";#N/A,#N/A,FALSE,"9357-9373"}</definedName>
    <definedName name="skld" hidden="1">{#N/A,#N/A,FALSE,"8516";#N/A,#N/A,FALSE,"9357-9373";#N/A,#N/A,FALSE,"9688";#N/A,#N/A,FALSE,"9779";#N/A,#N/A,FALSE,"9753"}</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ONY" hidden="1">{#N/A,#N/A,FALSE,"tb";#N/A,#N/A,FALSE,"0500";#N/A,#N/A,FALSE,"0612";#N/A,#N/A,FALSE,"0613";#N/A,#N/A,FALSE,"0614";#N/A,#N/A,FALSE,"0653";#N/A,#N/A,FALSE,"0737";#N/A,#N/A,FALSE,"0760";#N/A,#N/A,FALSE,"0770";#N/A,#N/A,FALSE,"0786"}</definedName>
    <definedName name="tcmf" hidden="1">{#N/A,#N/A,FALSE,"8516";#N/A,#N/A,FALSE,"9357-9373";#N/A,#N/A,FALSE,"9688";#N/A,#N/A,FALSE,"9779";#N/A,#N/A,FALSE,"9753"}</definedName>
    <definedName name="test" hidden="1">{#N/A,#N/A,FALSE,"2014-app";#N/A,#N/A,FALSE,"2014-red";#N/A,#N/A,FALSE,"2014-fee";#N/A,#N/A,FALSE,"2030";#N/A,#N/A,FALSE,"2048";#N/A,#N/A,FALSE,"2360"}</definedName>
    <definedName name="TextRefCopyRangeCount" hidden="1">1</definedName>
    <definedName name="thhhhrr" hidden="1">{#N/A,#N/A,FALSE,"8516";#N/A,#N/A,FALSE,"9357-9373";#N/A,#N/A,FALSE,"9688";#N/A,#N/A,FALSE,"9779";#N/A,#N/A,FALSE,"9753"}</definedName>
    <definedName name="tpan" hidden="1">{#N/A,#N/A,FALSE,"2014-app";#N/A,#N/A,FALSE,"2014-red";#N/A,#N/A,FALSE,"2014-fee";#N/A,#N/A,FALSE,"2030";#N/A,#N/A,FALSE,"2048";#N/A,#N/A,FALSE,"2360"}</definedName>
    <definedName name="TTTTTTTTTTTTTT" hidden="1">{#N/A,#N/A,FALSE,"tb";#N/A,#N/A,FALSE,"0500";#N/A,#N/A,FALSE,"0612";#N/A,#N/A,FALSE,"0613";#N/A,#N/A,FALSE,"0614";#N/A,#N/A,FALSE,"0653";#N/A,#N/A,FALSE,"0737";#N/A,#N/A,FALSE,"0760";#N/A,#N/A,FALSE,"0770";#N/A,#N/A,FALSE,"0786"}</definedName>
    <definedName name="TYYYYYHHY" hidden="1">{#N/A,#N/A,FALSE,"8516";#N/A,#N/A,FALSE,"9357-9373";#N/A,#N/A,FALSE,"9688";#N/A,#N/A,FALSE,"9779";#N/A,#N/A,FALSE,"9753"}</definedName>
    <definedName name="Val_RSEs" hidden="1">OFFSET([7]PARAM!$I$2,0,0,COUNTA([7]PARAM!$I$2:$I$25),1)</definedName>
    <definedName name="vczxv" hidden="1">{#N/A,#N/A,FALSE,"2014-app";#N/A,#N/A,FALSE,"2014-red";#N/A,#N/A,FALSE,"2014-fee";#N/A,#N/A,FALSE,"2030";#N/A,#N/A,FALSE,"2048";#N/A,#N/A,FALSE,"2360"}</definedName>
    <definedName name="vfas" hidden="1">{#N/A,#N/A,FALSE,"5009";#N/A,#N/A,FALSE,"5050";#N/A,#N/A,FALSE,"5058";#N/A,#N/A,FALSE,"5306";#N/A,#N/A,FALSE,"5314";#N/A,#N/A,FALSE,"5355";#N/A,#N/A,FALSE,"5751"}</definedName>
    <definedName name="VICTORY" hidden="1">{#N/A,#N/A,FALSE,"2014-app";#N/A,#N/A,FALSE,"2014-red";#N/A,#N/A,FALSE,"2014-fee";#N/A,#N/A,FALSE,"2030";#N/A,#N/A,FALSE,"2048";#N/A,#N/A,FALSE,"2360"}</definedName>
    <definedName name="vsdf" hidden="1">{"ResultsSummaryNew",#N/A,FALSE,"ASX QTR";"Index",#N/A,FALSE,"ASX Ind";"ASXNew",#N/A,FALSE,"ASX QTR"}</definedName>
    <definedName name="vsdf_1" hidden="1">{"ResultsSummaryNew",#N/A,FALSE,"ASX QTR";"Index",#N/A,FALSE,"ASX Ind";"ASXNew",#N/A,FALSE,"ASX QTR"}</definedName>
    <definedName name="vsv" hidden="1">{#N/A,#N/A,FALSE,"5009";#N/A,#N/A,FALSE,"5050";#N/A,#N/A,FALSE,"5058";#N/A,#N/A,FALSE,"5306";#N/A,#N/A,FALSE,"5314";#N/A,#N/A,FALSE,"5355";#N/A,#N/A,FALSE,"5751"}</definedName>
    <definedName name="VVV" hidden="1">{#N/A,#N/A,FALSE,"2014-app";#N/A,#N/A,FALSE,"2014-red";#N/A,#N/A,FALSE,"2014-fee";#N/A,#N/A,FALSE,"2030";#N/A,#N/A,FALSE,"2048";#N/A,#N/A,FALSE,"2360"}</definedName>
    <definedName name="wrn.95._.Plan." hidden="1">{"Budget Summary",#N/A,FALSE,"Sheet1";"Calendarization",#N/A,FALSE,"Sheet1";"Starting Personnel",#N/A,FALSE,"Sheet1"}</definedName>
    <definedName name="wrn.aaPressRelease." hidden="1">{"ResultsSummaryNew",#N/A,FALSE,"ASX QTR";"Index",#N/A,FALSE,"ASX Ind";"ASXNew",#N/A,FALSE,"ASX QTR"}</definedName>
    <definedName name="wrn.aaPressRelease._1" hidden="1">{"ResultsSummaryNew",#N/A,FALSE,"ASX QTR";"Index",#N/A,FALSE,"ASX Ind";"ASXNew",#N/A,FALSE,"ASX QTR"}</definedName>
    <definedName name="wrn.Accounts." hidden="1">{"BSPLCF",#N/A,FALSE,"BS, PL, Cash flow";"BSPLCF_CONTD",#N/A,FALSE,"BS,PL,CF_contd"}</definedName>
    <definedName name="wrn.Accounts._1" hidden="1">{"BSPLCF",#N/A,FALSE,"BS, PL, Cash flow";"BSPLCF_CONTD",#N/A,FALSE,"BS,PL,CF_contd"}</definedName>
    <definedName name="wrn.Aging._.and._.Trend._.Analysis." hidden="1">{#N/A,#N/A,FALSE,"Aging Summary";#N/A,#N/A,FALSE,"Ratio Analysis";#N/A,#N/A,FALSE,"Test 120 Day Accts";#N/A,#N/A,FALSE,"Tickmarks"}</definedName>
    <definedName name="wrn.All._.Trees." hidden="1">{"Trees",#N/A,FALSE,"Rural Lending Var";"Trees",#N/A,FALSE,"Rural Lending Fixed";"Trees",#N/A,FALSE,"Bus Lending Variable";"Trees",#N/A,FALSE,"Bus Lending Fixed";"Trees",#N/A,FALSE,"Equity CR";"Trees",#N/A,FALSE,"ADIS";"Trees",#N/A,FALSE,"Serious Saver";"Trees",#N/A,FALSE,"Cons Trans Other";"Trees",#N/A,FALSE,"Consumer OD";"Trees",#N/A,FALSE,"Connect";"Trees",#N/A,FALSE,"CANBI";"Trees",#N/A,FALSE,"CANBI";"Trees",#N/A,FALSE,"Call";"Trees",#N/A,FALSE,"Bus Trans Other";"Trees",#N/A,FALSE,"Bus OD";"Trees",#N/A,FALSE,"ACESS";"Trees",#N/A,FALSE,"Term Deposits";"Trees",#N/A,FALSE,"Call - ODs";"Trees",#N/A,FALSE,"S&amp;I Other";"Trees",#N/A,FALSE,"Key Saver";"Trees",#N/A,FALSE,"Consumer Lending"}</definedName>
    <definedName name="wrn.All397." hidden="1">{#N/A,#N/A,TRUE,"P&amp;L";#N/A,#N/A,TRUE,"BALANCE";#N/A,#N/A,TRUE,"STATEMENT";#N/A,#N/A,TRUE,"NOTES 1-2";#N/A,#N/A,TRUE,"NOTES 3-6";#N/A,#N/A,TRUE,"NOTES 7-11";#N/A,#N/A,TRUE,"NOTES 12-14";#N/A,#N/A,TRUE,"NOTES 15-25";#N/A,#N/A,TRUE,"NOTES 26-27";#N/A,#N/A,TRUE,"NOTES 28";#N/A,#N/A,TRUE,"NOTES 29-43";#N/A,#N/A,TRUE,"Schedule"}</definedName>
    <definedName name="wrn.API97A." hidden="1">{#N/A,#N/A,FALSE,"B1";#N/A,#N/A,FALSE,"B2";#N/A,#N/A,FALSE,"B3";#N/A,#N/A,FALSE,"C1";#N/A,#N/A,FALSE,"C3";#N/A,#N/A,FALSE,"C4";#N/A,#N/A,FALSE,"C5";#N/A,#N/A,FALSE,"D1";#N/A,#N/A,FALSE,"D3";#N/A,#N/A,FALSE,"D3(a)";#N/A,#N/A,FALSE,"D3(b)";#N/A,#N/A,FALSE,"D3(b1)";#N/A,#N/A,FALSE,"D3(b2)"}</definedName>
    <definedName name="wrn.assets." hidden="1">{#N/A,#N/A,FALSE,"tb";#N/A,#N/A,FALSE,"0500";#N/A,#N/A,FALSE,"0612";#N/A,#N/A,FALSE,"0613";#N/A,#N/A,FALSE,"0614";#N/A,#N/A,FALSE,"0653";#N/A,#N/A,FALSE,"0737";#N/A,#N/A,FALSE,"0760";#N/A,#N/A,FALSE,"0770";#N/A,#N/A,FALSE,"0786"}</definedName>
    <definedName name="wrn.CBAFD." hidden="1">{#N/A,#N/A,FALSE,"CBDIVBT";#N/A,#N/A,FALSE,"CBDIVJP";#N/A,#N/A,FALSE,"CBDIVTE"}</definedName>
    <definedName name="wrn.Comps1_Printing." hidden="1">{"comps1_1",#N/A,FALSE,"Comps1";"comps1_2",#N/A,FALSE,"Comps1";"comps1_3",#N/A,FALSE,"Comps1";"comps1_4",#N/A,FALSE,"Comps1";"comps1_5",#N/A,FALSE,"Comps1"}</definedName>
    <definedName name="wrn.Comps2_Printing." hidden="1">{"comps2_1",#N/A,FALSE,"Comps2";"comps2_2",#N/A,FALSE,"Comps2";"comps2_3",#N/A,FALSE,"Comps2";"comps2_4",#N/A,FALSE,"Comps2";"comps2_5",#N/A,FALSE,"Comps2"}</definedName>
    <definedName name="wrn.Consolidated._.Tax._.Reports." hidden="1">{#N/A,#N/A,FALSE,"TAX3";#N/A,#N/A,FALSE,"TAX1";#N/A,#N/A,FALSE,"TAX2";#N/A,#N/A,FALSE,"TAX4";#N/A,#N/A,FALSE,"TREC";#N/A,#N/A,FALSE,"LREC"}</definedName>
    <definedName name="wrn.Consolidated._.with._.no._.profit._.summary." hidden="1">{#N/A,#N/A,FALSE,"TAX1";#N/A,#N/A,FALSE,"TAX3";#N/A,#N/A,FALSE,"TAX4";#N/A,#N/A,FALSE,"TREC";#N/A,#N/A,FALSE,"LREC"}</definedName>
    <definedName name="wrn.Darwin." hidden="1">{#N/A,#N/A,FALSE,"Title";#N/A,#N/A,FALSE,"Assumptions";#N/A,#N/A,FALSE,"Bidder";#N/A,#N/A,FALSE,"Target";#N/A,#N/A,FALSE,"Curr";#N/A,#N/A,FALSE,"Prosp";#N/A,#N/A,FALSE,"Prosp+1";#N/A,#N/A,FALSE,"Summary";#N/A,#N/A,FALSE,"Debtsched";#N/A,#N/A,FALSE,"Sensitivities"}</definedName>
    <definedName name="wrn.dcshlfg." hidden="1">{#N/A,#N/A,FALSE,"Cashdy";#N/A,#N/A,FALSE,"TMF";#N/A,#N/A,FALSE,"TTEI";#N/A,#N/A,FALSE,"TASF";#N/A,#N/A,FALSE,"TBF";#N/A,#N/A,FALSE,"MOR2";#N/A,#N/A,FALSE,"TSCG";#N/A,#N/A,FALSE,"REST";#N/A,#N/A,FALSE,"BLUE";#N/A,#N/A,FALSE,"GREEN";#N/A,#N/A,FALSE,"AST";#N/A,#N/A,FALSE,"BEN";#N/A,#N/A,FALSE,"MAN";#N/A,#N/A,FALSE,"MAN"}</definedName>
    <definedName name="wrn.DIV97." hidden="1">{#N/A,#N/A,FALSE,"DIV-HKD";#N/A,#N/A,FALSE,"DIV-IDR";#N/A,#N/A,FALSE,"DIV-MYR";#N/A,#N/A,FALSE,"DIV-PHP";#N/A,#N/A,FALSE,"DIV-SGD";#N/A,#N/A,FALSE,"DIV-THB";#N/A,#N/A,FALSE,"DIV-USD"}</definedName>
    <definedName name="wrn.expenses." hidden="1">{#N/A,#N/A,FALSE,"8516";#N/A,#N/A,FALSE,"9357-9373";#N/A,#N/A,FALSE,"9688";#N/A,#N/A,FALSE,"9779";#N/A,#N/A,FALSE,"9753"}</definedName>
    <definedName name="wrn.FUNDFLOW." hidden="1">{"NEWBUS",#N/A,FALSE,"Fflow";"CONTNS",#N/A,FALSE,"Fflow";"WDRAWL",#N/A,FALSE,"Fflow";"SWITCH",#N/A,FALSE,"Fflow";"TFRS",#N/A,FALSE,"Fflow";"RETAIL_NET",#N/A,FALSE,"Fflow";"WSALE",#N/A,FALSE,"Fflow"}</definedName>
    <definedName name="wrn.income." hidden="1">{#N/A,#N/A,FALSE,"5009";#N/A,#N/A,FALSE,"5050";#N/A,#N/A,FALSE,"5058";#N/A,#N/A,FALSE,"5306";#N/A,#N/A,FALSE,"5314";#N/A,#N/A,FALSE,"5355";#N/A,#N/A,FALSE,"5751"}</definedName>
    <definedName name="wrn.liabilities." hidden="1">{#N/A,#N/A,FALSE,"2873";#N/A,#N/A,FALSE,"2899";#N/A,#N/A,FALSE,"2907";#N/A,#N/A,FALSE,"2999"}</definedName>
    <definedName name="wrn.MID._.Forms." hidden="1">{#N/A,#N/A,FALSE,"MID-AssetAllocation";#N/A,#N/A,FALSE,"MID-WSCT";#N/A,#N/A,FALSE,"MID-Overseas";#N/A,#N/A,FALSE,"MID-EquityAllocation";#N/A,#N/A,FALSE,"MID-FundSizes"}</definedName>
    <definedName name="wrn.Model." hidden="1">{"DCF",#N/A,FALSE,"DCF"}</definedName>
    <definedName name="wrn.pfirec." hidden="1">{#N/A,#N/A,FALSE,"tb";#N/A,#N/A,FALSE,"0414 - 0455";#N/A,#N/A,FALSE,"0612";#N/A,#N/A,FALSE,"0653";#N/A,#N/A,FALSE,"0760";#N/A,#N/A,FALSE,"0786";#N/A,#N/A,FALSE,"2014-app";#N/A,#N/A,FALSE,"2014-red";#N/A,#N/A,FALSE,"2030";#N/A,#N/A,FALSE,"2360";#N/A,#N/A,FALSE,"2907";#N/A,#N/A,FALSE,"5009";#N/A,#N/A,FALSE,"5306";#N/A,#N/A,FALSE,"5751";#N/A,#N/A,FALSE,"8557";#N/A,#N/A,FALSE,"9357-9373"}</definedName>
    <definedName name="wrn.Portfolios." hidden="1">{#N/A,#N/A,FALSE,"Leaders";#N/A,#N/A,FALSE,"AustEquityPool";#N/A,#N/A,FALSE,"Resources";#N/A,#N/A,FALSE,"Emerging Leaders ";#N/A,#N/A,FALSE,"WOP";#N/A,#N/A,FALSE,"Balanced";#N/A,#N/A,FALSE,"Fixed Interest";#N/A,#N/A,FALSE,"IncomePlus";#N/A,#N/A,FALSE,"Investment";#N/A,#N/A,FALSE,"IHAT"}</definedName>
    <definedName name="wrn.PressRelease." hidden="1">{"analyst",#N/A,FALSE,"Result";"Index",#N/A,FALSE,"Index";"asx1",#N/A,FALSE,"ASX1";"asx2",#N/A,FALSE,"ASX2";"Review",#N/A,FALSE,"Review";"Analyst",#N/A,FALSE,"Analyst"}</definedName>
    <definedName name="wrn.PressRelease._1" hidden="1">{"analyst",#N/A,FALSE,"Result";"Index",#N/A,FALSE,"Index";"asx1",#N/A,FALSE,"ASX1";"asx2",#N/A,FALSE,"ASX2";"Review",#N/A,FALSE,"Review";"Analyst",#N/A,FALSE,"Analyst"}</definedName>
    <definedName name="wrn.print." hidden="1">{"dcf",#N/A,FALSE,"DCF";"sens",#N/A,FALSE,"DCF"}</definedName>
    <definedName name="wrn.Print._.All." hidden="1">{#N/A,#N/A,FALSE,"Assumptions";#N/A,#N/A,FALSE,"Switches";#N/A,#N/A,FALSE,"Bidder P&amp;L";#N/A,#N/A,FALSE,"Bidder BS";#N/A,#N/A,FALSE,"Bidder Ratios";#N/A,#N/A,FALSE,"Target P&amp;L";#N/A,#N/A,FALSE,"Target BS";#N/A,#N/A,FALSE,"Target Ratios";#N/A,#N/A,FALSE,"Target Options";#N/A,#N/A,FALSE,"Comb P&amp;L Acq Yr";#N/A,#N/A,FALSE,"Comb P&amp;L Acq Yr + 1";#N/A,#N/A,FALSE,"Comb P&amp;L Acq Yr + 2";#N/A,#N/A,FALSE,"Comb P&amp;L Acq Yr + 3";#N/A,#N/A,FALSE,"Comb P&amp;L Acq Yr + 4";#N/A,#N/A,FALSE,"Comb P&amp;L Acq Yr + 5";#N/A,#N/A,FALSE,"Comb BS";#N/A,#N/A,FALSE,"Synergies";#N/A,#N/A,FALSE,"Share of the cake";#N/A,#N/A,FALSE,"Consid Mix"}</definedName>
    <definedName name="wrn.Print._.All._.Valuation." hidden="1">{#N/A,#N/A,FALSE,"Clyd. Comps";#N/A,#N/A,FALSE,"Sum of Parts";#N/A,#N/A,FALSE,"York. Comps";#N/A,#N/A,FALSE,"North. Comps";#N/A,#N/A,FALSE,"NIB Comps";#N/A,#N/A,FALSE,"Clyd. DCF";#N/A,#N/A,FALSE,"York. DCF";#N/A,#N/A,FALSE,"North. DCF";#N/A,#N/A,FALSE,"NIB DCF";#N/A,#N/A,FALSE,"Clyd. DTPF";#N/A,#N/A,FALSE,"York. DTPF";#N/A,#N/A,FALSE,"North. DTPF";#N/A,#N/A,FALSE,"NIB DTPF"}</definedName>
    <definedName name="wrn.Print._.Document._.Pages." hidden="1">{#N/A,#N/A,FALSE,"Assumptions";#N/A,#N/A,FALSE,"Switches";#N/A,#N/A,FALSE,"Bidder P&amp;L";#N/A,#N/A,FALSE,"Bidder BS";#N/A,#N/A,FALSE,"Target P&amp;L";#N/A,#N/A,FALSE,"Target BS";#N/A,#N/A,FALSE,"Target Options";#N/A,#N/A,FALSE,"Comb P&amp;L Acq Yr";#N/A,#N/A,FALSE,"Comb P&amp;L Acq Yr + 1";#N/A,#N/A,FALSE,"Comb P&amp;L Acq Yr + 2";#N/A,#N/A,FALSE,"Comb P&amp;L Acq Yr + 3";#N/A,#N/A,FALSE,"Comb P&amp;L Acq Yr + 4";#N/A,#N/A,FALSE,"Comb P&amp;L Acq Yr + 5";#N/A,#N/A,FALSE,"Comb BS";#N/A,#N/A,FALSE,"Consid Mix"}</definedName>
    <definedName name="wrn.Print._.the._.lot." hidden="1">{"First Page",#N/A,FALSE,"Surfactants LBO";"Second Page",#N/A,FALSE,"Surfactants LBO"}</definedName>
    <definedName name="wrn.Print._.Underlying._.Figures." hidden="1">{#N/A,#N/A,FALSE,"Clyd. Income";#N/A,#N/A,FALSE,"York. Income";#N/A,#N/A,FALSE,"North. Income";#N/A,#N/A,FALSE,"NIB Income";#N/A,#N/A,FALSE,"NAB UK Total"}</definedName>
    <definedName name="wrn.Print_Comps_Report." hidden="1">{"comps1_1",#N/A,FALSE,"Comps1";"comps1_2",#N/A,FALSE,"Comps1";"comps1_3",#N/A,FALSE,"Comps1";"comps1_4",#N/A,FALSE,"Comps1";"comps1_5",#N/A,FALSE,"Comps1";"comps2_1",#N/A,FALSE,"Comps2";"comps2_2",#N/A,FALSE,"Comps2";"comps2_3",#N/A,FALSE,"Comps2";"comps2_4",#N/A,FALSE,"Comps2";"comps2_5",#N/A,FALSE,"Comps2"}</definedName>
    <definedName name="wrn.Printing._.Report." hidden="1">{"Assumptions",#N/A,FALSE,"Assumptions";"Sensitivities1",#N/A,FALSE,"Sensitivities";"Sensitivities2",#N/A,FALSE,"Sensitivities";"Sensitivities3",#N/A,FALSE,"Sensitivities";"Bidder",#N/A,FALSE,"Bidder";"Annualised_Target",#N/A,FALSE,"Target";"Target",#N/A,FALSE,"Target";"Summary",#N/A,FALSE,"Summary";"Historic",#N/A,FALSE,"Hist";"Current",#N/A,FALSE,"Curr";"Prospective",#N/A,FALSE,"Prosp";"Prospective+1",#N/A,FALSE,"Prosp+1"}</definedName>
    <definedName name="wrn.Printing._.the._.transactions._.sheets." hidden="1">{#N/A,#N/A,FALSE,"Eastern";#N/A,#N/A,FALSE,"Western"}</definedName>
    <definedName name="wrn.printsyns." hidden="1">{"dcfsyn",#N/A,FALSE,"DCFSYN";"senssyn",#N/A,FALSE,"DCFSYN"}</definedName>
    <definedName name="wrn.REP96S." hidden="1">{#N/A,#N/A,FALSE,"F6";#N/A,#N/A,FALSE,"F4";#N/A,#N/A,FALSE,"F1";#N/A,#N/A,FALSE,"D3(e2)";#N/A,#N/A,FALSE,"D3(e1)";#N/A,#N/A,FALSE,"D3(e)";#N/A,#N/A,FALSE,"D3(d)";#N/A,#N/A,FALSE,"D3(c)";#N/A,#N/A,FALSE,"D3(b) ";#N/A,#N/A,FALSE,"D3(a)";#N/A,#N/A,FALSE,"D3";#N/A,#N/A,FALSE,"C5";#N/A,#N/A,FALSE,"C4";#N/A,#N/A,FALSE,"C3-7";#N/A,#N/A,FALSE,"C3-6";#N/A,#N/A,FALSE,"C3-5";#N/A,#N/A,FALSE,"C3-4";#N/A,#N/A,FALSE,"C3-3";#N/A,#N/A,FALSE,"C3-2";#N/A,#N/A,FALSE,"C3-1";#N/A,#N/A,FALSE,"C3";#N/A,#N/A,FALSE,"B9";#N/A,#N/A,FALSE,"B8";#N/A,#N/A,FALSE,"B4";#N/A,#N/A,FALSE,"B3";#N/A,#N/A,FALSE,"B2";#N/A,#N/A,FALSE,"B1"}</definedName>
    <definedName name="wrn.Report1." hidden="1">{#N/A,#N/A,FALSE,"Operations";#N/A,#N/A,FALSE,"Financials"}</definedName>
    <definedName name="wrn.RESULTS." hidden="1">{"Page 1",#N/A,FALSE,"Sheet1";"Page 2",#N/A,FALSE,"Sheet1"}</definedName>
    <definedName name="wrn.sens3." hidden="1">{#N/A,#N/A,TRUE,"DCF";#N/A,#N/A,TRUE,"DCF"}</definedName>
    <definedName name="wrn.Supp." hidden="1">{#N/A,#N/A,FALSE,"SP(2)";#N/A,#N/A,FALSE,"SP"}</definedName>
    <definedName name="wrn.Supp._.Pack." hidden="1">{#N/A,#N/A,FALSE,"SP (SPREAD)GRP";#N/A,#N/A,FALSE,"SP (SPREAD)AUS";#N/A,#N/A,FALSE,"SP (SPREAD)OSEAS";#N/A,#N/A,FALSE,"SP (SPREAD)NZ"}</definedName>
    <definedName name="wrn.Supp1." hidden="1">{#N/A,#N/A,FALSE,"SP (SPREAD)GRP";#N/A,#N/A,FALSE,"SP (SPREAD)AUS";#N/A,#N/A,FALSE,"SP (SPREAD)NZ";#N/A,#N/A,FALSE,"SP (SPREAD)INT"}</definedName>
    <definedName name="wrn.twmgrec." hidden="1">{#N/A,#N/A,FALSE,"tb";#N/A,#N/A,FALSE,"0500";#N/A,#N/A,FALSE,"0612";#N/A,#N/A,FALSE,"0653";#N/A,#N/A,FALSE,"0760";#N/A,#N/A,FALSE,"2014-app";#N/A,#N/A,FALSE,"2014-red";#N/A,#N/A,FALSE,"2030";#N/A,#N/A,FALSE,"2873";#N/A,#N/A,FALSE,"2899";#N/A,#N/A,FALSE,"5009";#N/A,#N/A,FALSE,"5050";#N/A,#N/A,FALSE,"5314";#N/A,#N/A,FALSE,"5355";#N/A,#N/A,FALSE,"5959";#N/A,#N/A,FALSE,"9753";#N/A,#N/A,FALSE,"9779";#N/A,#N/A,FALSE,"7271";#N/A,#N/A,FALSE,"9357-9373"}</definedName>
    <definedName name="wrn.unitholders._.equity." hidden="1">{#N/A,#N/A,FALSE,"2014-app";#N/A,#N/A,FALSE,"2014-red";#N/A,#N/A,FALSE,"2014-fee";#N/A,#N/A,FALSE,"2030";#N/A,#N/A,FALSE,"2048";#N/A,#N/A,FALSE,"2360"}</definedName>
    <definedName name="wt" hidden="1">{"comps2_1",#N/A,FALSE,"Comps2";"comps2_2",#N/A,FALSE,"Comps2";"comps2_3",#N/A,FALSE,"Comps2";"comps2_4",#N/A,FALSE,"Comps2";"comps2_5",#N/A,FALSE,"Comps2"}</definedName>
    <definedName name="WW" hidden="1">{#N/A,#N/A,FALSE,"8516";#N/A,#N/A,FALSE,"9357-9373";#N/A,#N/A,FALSE,"9688";#N/A,#N/A,FALSE,"9779";#N/A,#N/A,FALSE,"9753"}</definedName>
    <definedName name="WW.INCOME" hidden="1">{#N/A,#N/A,FALSE,"5009";#N/A,#N/A,FALSE,"5050";#N/A,#N/A,FALSE,"5058";#N/A,#N/A,FALSE,"5306";#N/A,#N/A,FALSE,"5314";#N/A,#N/A,FALSE,"5355";#N/A,#N/A,FALSE,"5751"}</definedName>
    <definedName name="YY" hidden="1">{#N/A,#N/A,FALSE,"TAX1";#N/A,#N/A,FALSE,"TAX3";#N/A,#N/A,FALSE,"TAX4";#N/A,#N/A,FALSE,"TREC";#N/A,#N/A,FALSE,"LREC"}</definedName>
    <definedName name="Z_2891AF67_639B_11D2_AA4E_AB73DC59AB4D_.wvu.PrintArea" hidden="1">#REF!</definedName>
    <definedName name="Z_2891AF68_639B_11D2_AA4E_AB73DC59AB4D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15" l="1"/>
  <c r="H12" i="15" s="1"/>
  <c r="D51" i="15"/>
  <c r="D50" i="15"/>
  <c r="D49" i="15"/>
  <c r="D48" i="15"/>
  <c r="G12" i="15" s="1"/>
  <c r="D47" i="15"/>
  <c r="D46" i="15"/>
  <c r="D45" i="15"/>
  <c r="D44" i="15"/>
  <c r="D43" i="15"/>
  <c r="D42" i="15"/>
  <c r="D41" i="15"/>
  <c r="D40" i="15"/>
  <c r="C35" i="15"/>
  <c r="H33" i="15"/>
  <c r="E27" i="15"/>
  <c r="D27" i="15"/>
  <c r="C27" i="15"/>
  <c r="B27" i="15"/>
  <c r="G22" i="15"/>
  <c r="F22" i="15"/>
  <c r="E22" i="15"/>
  <c r="D22" i="15"/>
  <c r="C22" i="15"/>
  <c r="B22" i="15"/>
  <c r="A22" i="15"/>
  <c r="D20" i="15"/>
  <c r="C20" i="15"/>
  <c r="B20" i="15"/>
  <c r="D18" i="15"/>
  <c r="D19" i="2" s="1"/>
  <c r="F12" i="15"/>
  <c r="E12" i="15"/>
  <c r="E20" i="15" s="1"/>
  <c r="E21" i="2" s="1"/>
  <c r="D12" i="15"/>
  <c r="C12" i="15"/>
  <c r="B12" i="15"/>
  <c r="B18" i="15" s="1"/>
  <c r="E10" i="15"/>
  <c r="D10" i="15"/>
  <c r="C10" i="15"/>
  <c r="B10" i="15"/>
  <c r="E9" i="15"/>
  <c r="E18" i="15" s="1"/>
  <c r="E19" i="2" s="1"/>
  <c r="D9" i="15"/>
  <c r="C9" i="15"/>
  <c r="C19" i="15" s="1"/>
  <c r="B9" i="15"/>
  <c r="B19" i="15" s="1"/>
  <c r="C7" i="15"/>
  <c r="C26" i="13"/>
  <c r="G16" i="13"/>
  <c r="G20" i="13" s="1"/>
  <c r="G26" i="13" s="1"/>
  <c r="F16" i="13"/>
  <c r="F20" i="13" s="1"/>
  <c r="F26" i="13" s="1"/>
  <c r="E16" i="13"/>
  <c r="E20" i="13" s="1"/>
  <c r="E26" i="13" s="1"/>
  <c r="D16" i="13"/>
  <c r="D20" i="13" s="1"/>
  <c r="D26" i="13" s="1"/>
  <c r="C16" i="13"/>
  <c r="C20" i="13" s="1"/>
  <c r="B16" i="13"/>
  <c r="B20" i="13" s="1"/>
  <c r="B26" i="13" s="1"/>
  <c r="H13" i="13"/>
  <c r="H7" i="13"/>
  <c r="H16" i="13" s="1"/>
  <c r="H20" i="13" s="1"/>
  <c r="H26" i="13" s="1"/>
  <c r="G7" i="13"/>
  <c r="F42" i="12"/>
  <c r="E42" i="12"/>
  <c r="E47" i="12" s="1"/>
  <c r="F43" i="12" s="1"/>
  <c r="D42" i="12"/>
  <c r="C42" i="12"/>
  <c r="H41" i="12"/>
  <c r="H42" i="12" s="1"/>
  <c r="G41" i="12"/>
  <c r="F41" i="12"/>
  <c r="E41" i="12"/>
  <c r="D41" i="12"/>
  <c r="C41" i="12"/>
  <c r="B41" i="12"/>
  <c r="H30" i="12"/>
  <c r="G30" i="12"/>
  <c r="F30" i="12"/>
  <c r="E30" i="12"/>
  <c r="D30" i="12"/>
  <c r="C30" i="12"/>
  <c r="B30" i="12"/>
  <c r="H17" i="12"/>
  <c r="G17" i="12"/>
  <c r="F17" i="12"/>
  <c r="E17" i="12"/>
  <c r="D17" i="12"/>
  <c r="C17" i="12"/>
  <c r="B17" i="12"/>
  <c r="B42" i="12" s="1"/>
  <c r="B47" i="12" s="1"/>
  <c r="C43" i="12" s="1"/>
  <c r="C47" i="12" s="1"/>
  <c r="D43" i="12" s="1"/>
  <c r="D47" i="12" s="1"/>
  <c r="E43" i="12" s="1"/>
  <c r="H41" i="11"/>
  <c r="G41" i="11"/>
  <c r="F41" i="11"/>
  <c r="H39" i="11"/>
  <c r="G39" i="11"/>
  <c r="F39" i="11"/>
  <c r="E39" i="11"/>
  <c r="E41" i="11" s="1"/>
  <c r="D39" i="11"/>
  <c r="D41" i="11" s="1"/>
  <c r="C39" i="11"/>
  <c r="C41" i="11" s="1"/>
  <c r="B39" i="11"/>
  <c r="B41" i="11" s="1"/>
  <c r="G33" i="11"/>
  <c r="F33" i="11"/>
  <c r="D33" i="11"/>
  <c r="C33" i="11"/>
  <c r="H31" i="11"/>
  <c r="H33" i="11" s="1"/>
  <c r="G31" i="11"/>
  <c r="F31" i="11"/>
  <c r="D31" i="11"/>
  <c r="C31" i="11"/>
  <c r="B31" i="11"/>
  <c r="B33" i="11" s="1"/>
  <c r="E26" i="11"/>
  <c r="E31" i="11" s="1"/>
  <c r="E33" i="11" s="1"/>
  <c r="H23" i="11"/>
  <c r="G23" i="11"/>
  <c r="G34" i="11" s="1"/>
  <c r="H21" i="11"/>
  <c r="G21" i="11"/>
  <c r="E21" i="11"/>
  <c r="E23" i="11" s="1"/>
  <c r="D21" i="11"/>
  <c r="D23" i="11" s="1"/>
  <c r="D34" i="11" s="1"/>
  <c r="C21" i="11"/>
  <c r="C23" i="11" s="1"/>
  <c r="C34" i="11" s="1"/>
  <c r="B21" i="11"/>
  <c r="B23" i="11" s="1"/>
  <c r="F13" i="11"/>
  <c r="F21" i="11" s="1"/>
  <c r="F23" i="11" s="1"/>
  <c r="E9" i="10"/>
  <c r="E27" i="10" s="1"/>
  <c r="E29" i="10" s="1"/>
  <c r="D9" i="10"/>
  <c r="D27" i="10" s="1"/>
  <c r="D29" i="10" s="1"/>
  <c r="C9" i="10"/>
  <c r="B9" i="10"/>
  <c r="B27" i="10" s="1"/>
  <c r="B29" i="10" s="1"/>
  <c r="E7" i="10"/>
  <c r="D7" i="10"/>
  <c r="C7" i="10"/>
  <c r="B7" i="10"/>
  <c r="D27" i="9"/>
  <c r="E21" i="9" s="1"/>
  <c r="E27" i="9" s="1"/>
  <c r="F21" i="9" s="1"/>
  <c r="F27" i="9" s="1"/>
  <c r="G21" i="9" s="1"/>
  <c r="G27" i="9" s="1"/>
  <c r="H21" i="9" s="1"/>
  <c r="H27" i="9" s="1"/>
  <c r="C27" i="9"/>
  <c r="D21" i="9" s="1"/>
  <c r="B13" i="9"/>
  <c r="C7" i="9" s="1"/>
  <c r="C13" i="9" s="1"/>
  <c r="D7" i="9" s="1"/>
  <c r="D13" i="9" s="1"/>
  <c r="E7" i="9" s="1"/>
  <c r="E13" i="9" s="1"/>
  <c r="F7" i="9" s="1"/>
  <c r="F13" i="9" s="1"/>
  <c r="G7" i="9" s="1"/>
  <c r="G13" i="9" s="1"/>
  <c r="H7" i="9" s="1"/>
  <c r="H13" i="9" s="1"/>
  <c r="M61" i="8"/>
  <c r="N56" i="8" s="1"/>
  <c r="L61" i="8"/>
  <c r="K61" i="8"/>
  <c r="J61" i="8"/>
  <c r="I61" i="8"/>
  <c r="H61" i="8"/>
  <c r="G61" i="8"/>
  <c r="F61" i="8"/>
  <c r="N61" i="8"/>
  <c r="O56" i="8" s="1"/>
  <c r="O61" i="8" s="1"/>
  <c r="J50" i="8"/>
  <c r="K45" i="8" s="1"/>
  <c r="K50" i="8" s="1"/>
  <c r="L45" i="8" s="1"/>
  <c r="L50" i="8" s="1"/>
  <c r="M45" i="8" s="1"/>
  <c r="M50" i="8" s="1"/>
  <c r="N45" i="8" s="1"/>
  <c r="N50" i="8" s="1"/>
  <c r="O45" i="8" s="1"/>
  <c r="O50" i="8" s="1"/>
  <c r="I50" i="8"/>
  <c r="J45" i="8" s="1"/>
  <c r="I39" i="8"/>
  <c r="M38" i="8"/>
  <c r="O37" i="8"/>
  <c r="N37" i="8"/>
  <c r="M37" i="8"/>
  <c r="L37" i="8"/>
  <c r="K37" i="8"/>
  <c r="J37" i="8"/>
  <c r="I37" i="8"/>
  <c r="I36" i="8" s="1"/>
  <c r="E9" i="5" s="1"/>
  <c r="H9" i="5"/>
  <c r="M36" i="8"/>
  <c r="L36" i="8"/>
  <c r="K36" i="8"/>
  <c r="J36" i="8"/>
  <c r="H36" i="8"/>
  <c r="G36" i="8"/>
  <c r="F36" i="8"/>
  <c r="E36" i="8"/>
  <c r="D36" i="8"/>
  <c r="C9" i="5" s="1"/>
  <c r="C36" i="8"/>
  <c r="B36" i="8"/>
  <c r="B9" i="5" s="1"/>
  <c r="D28" i="8"/>
  <c r="F21" i="8"/>
  <c r="F28" i="8" s="1"/>
  <c r="G21" i="8" s="1"/>
  <c r="G28" i="8" s="1"/>
  <c r="H21" i="8" s="1"/>
  <c r="H28" i="8" s="1"/>
  <c r="I21" i="8" s="1"/>
  <c r="I28" i="8" s="1"/>
  <c r="E21" i="8"/>
  <c r="E28" i="8" s="1"/>
  <c r="E15" i="8"/>
  <c r="F7" i="8" s="1"/>
  <c r="F15" i="8" s="1"/>
  <c r="G7" i="8" s="1"/>
  <c r="G15" i="8" s="1"/>
  <c r="H7" i="8" s="1"/>
  <c r="H15" i="8" s="1"/>
  <c r="I7" i="8" s="1"/>
  <c r="I15" i="8" s="1"/>
  <c r="D15" i="8"/>
  <c r="F13" i="8"/>
  <c r="O10" i="8"/>
  <c r="N10" i="8"/>
  <c r="M10" i="8"/>
  <c r="L10" i="8"/>
  <c r="K10" i="8"/>
  <c r="J10" i="8"/>
  <c r="J9" i="8" s="1"/>
  <c r="I10" i="8"/>
  <c r="I9" i="8" s="1"/>
  <c r="H15" i="2"/>
  <c r="M9" i="8"/>
  <c r="G15" i="2" s="1"/>
  <c r="L9" i="8"/>
  <c r="K9" i="8"/>
  <c r="D69" i="7"/>
  <c r="C69" i="7"/>
  <c r="B69" i="7"/>
  <c r="K68" i="7"/>
  <c r="J68" i="7"/>
  <c r="G66" i="7"/>
  <c r="G69" i="7" s="1"/>
  <c r="F66" i="7"/>
  <c r="F69" i="7" s="1"/>
  <c r="E66" i="7"/>
  <c r="E69" i="7" s="1"/>
  <c r="D66" i="7"/>
  <c r="C66" i="7"/>
  <c r="B66" i="7"/>
  <c r="K65" i="7"/>
  <c r="J65" i="7"/>
  <c r="K64" i="7"/>
  <c r="J64" i="7"/>
  <c r="K63" i="7"/>
  <c r="J63" i="7"/>
  <c r="K62" i="7"/>
  <c r="J62" i="7"/>
  <c r="K61" i="7"/>
  <c r="J61" i="7"/>
  <c r="K60" i="7"/>
  <c r="J60" i="7"/>
  <c r="K51" i="7"/>
  <c r="J51" i="7"/>
  <c r="J49" i="7"/>
  <c r="H49" i="7"/>
  <c r="H52" i="7" s="1"/>
  <c r="J52" i="7" s="1"/>
  <c r="G49" i="7"/>
  <c r="G52" i="7" s="1"/>
  <c r="K52" i="7" s="1"/>
  <c r="F49" i="7"/>
  <c r="F52" i="7" s="1"/>
  <c r="E49" i="7"/>
  <c r="E52" i="7" s="1"/>
  <c r="D49" i="7"/>
  <c r="D52" i="7" s="1"/>
  <c r="C49" i="7"/>
  <c r="C52" i="7" s="1"/>
  <c r="B49" i="7"/>
  <c r="B52" i="7" s="1"/>
  <c r="K48" i="7"/>
  <c r="J48" i="7"/>
  <c r="K47" i="7"/>
  <c r="J47" i="7"/>
  <c r="K46" i="7"/>
  <c r="J46" i="7"/>
  <c r="K45" i="7"/>
  <c r="J45" i="7"/>
  <c r="K44" i="7"/>
  <c r="J44" i="7"/>
  <c r="K43" i="7"/>
  <c r="J43" i="7"/>
  <c r="K42" i="7"/>
  <c r="J42" i="7"/>
  <c r="F35" i="7"/>
  <c r="E35" i="7"/>
  <c r="K34" i="7"/>
  <c r="J34" i="7"/>
  <c r="H32" i="7"/>
  <c r="G32" i="7"/>
  <c r="K32" i="7" s="1"/>
  <c r="F32" i="7"/>
  <c r="E32" i="7"/>
  <c r="D32" i="7"/>
  <c r="D35" i="7" s="1"/>
  <c r="C32" i="7"/>
  <c r="C35" i="7" s="1"/>
  <c r="B32" i="7"/>
  <c r="B35" i="7" s="1"/>
  <c r="K31" i="7"/>
  <c r="J31" i="7"/>
  <c r="K30" i="7"/>
  <c r="J30" i="7"/>
  <c r="K29" i="7"/>
  <c r="J29" i="7"/>
  <c r="K28" i="7"/>
  <c r="J28" i="7"/>
  <c r="K27" i="7"/>
  <c r="J27" i="7"/>
  <c r="K26" i="7"/>
  <c r="J26" i="7"/>
  <c r="K25" i="7"/>
  <c r="J25" i="7"/>
  <c r="G18" i="7"/>
  <c r="K18" i="7" s="1"/>
  <c r="F18" i="7"/>
  <c r="E18" i="7"/>
  <c r="K17" i="7"/>
  <c r="J17" i="7"/>
  <c r="K15" i="7"/>
  <c r="J15" i="7"/>
  <c r="H15" i="7"/>
  <c r="H18" i="7" s="1"/>
  <c r="G15" i="7"/>
  <c r="F15" i="7"/>
  <c r="E15" i="7"/>
  <c r="D15" i="7"/>
  <c r="D18" i="7" s="1"/>
  <c r="C15" i="7"/>
  <c r="B15" i="7"/>
  <c r="K14" i="7"/>
  <c r="J14" i="7"/>
  <c r="K13" i="7"/>
  <c r="J13" i="7"/>
  <c r="K12" i="7"/>
  <c r="J12" i="7"/>
  <c r="K11" i="7"/>
  <c r="J11" i="7"/>
  <c r="K10" i="7"/>
  <c r="J10" i="7"/>
  <c r="K9" i="7"/>
  <c r="J9" i="7"/>
  <c r="K8" i="7"/>
  <c r="J8" i="7"/>
  <c r="G15" i="6"/>
  <c r="G18" i="6" s="1"/>
  <c r="F15" i="6"/>
  <c r="F18" i="6" s="1"/>
  <c r="E15" i="6"/>
  <c r="D15" i="6"/>
  <c r="D18" i="6" s="1"/>
  <c r="C15" i="6"/>
  <c r="C18" i="6" s="1"/>
  <c r="B15" i="6"/>
  <c r="B18" i="6" s="1"/>
  <c r="K14" i="6"/>
  <c r="J14" i="6"/>
  <c r="K13" i="6"/>
  <c r="J13" i="6"/>
  <c r="K12" i="6"/>
  <c r="J12" i="6"/>
  <c r="K10" i="6"/>
  <c r="J10" i="6"/>
  <c r="K9" i="6"/>
  <c r="J9" i="6"/>
  <c r="E30" i="5"/>
  <c r="D30" i="5"/>
  <c r="D6" i="5" s="1"/>
  <c r="G27" i="5"/>
  <c r="F27" i="5"/>
  <c r="F30" i="5" s="1"/>
  <c r="E27" i="5"/>
  <c r="D27" i="5"/>
  <c r="C27" i="5"/>
  <c r="C13" i="5" s="1"/>
  <c r="B27" i="5"/>
  <c r="B13" i="5" s="1"/>
  <c r="K25" i="5"/>
  <c r="J25" i="5"/>
  <c r="K24" i="5"/>
  <c r="K23" i="5"/>
  <c r="J23" i="5"/>
  <c r="E12" i="5"/>
  <c r="B10" i="5"/>
  <c r="B11" i="5" s="1"/>
  <c r="G9" i="5"/>
  <c r="F9" i="5"/>
  <c r="D9" i="5"/>
  <c r="D7" i="5"/>
  <c r="C7" i="5"/>
  <c r="B7" i="5"/>
  <c r="E6" i="5"/>
  <c r="E30" i="4"/>
  <c r="E6" i="4" s="1"/>
  <c r="D30" i="4"/>
  <c r="D6" i="4" s="1"/>
  <c r="C30" i="4"/>
  <c r="G27" i="4"/>
  <c r="G30" i="4" s="1"/>
  <c r="G6" i="4" s="1"/>
  <c r="F27" i="4"/>
  <c r="F30" i="4" s="1"/>
  <c r="E27" i="4"/>
  <c r="E13" i="4" s="1"/>
  <c r="D27" i="4"/>
  <c r="D10" i="4" s="1"/>
  <c r="D11" i="4" s="1"/>
  <c r="C27" i="4"/>
  <c r="B27" i="4"/>
  <c r="B30" i="4" s="1"/>
  <c r="B6" i="4" s="1"/>
  <c r="K26" i="4"/>
  <c r="J26" i="4"/>
  <c r="K24" i="4"/>
  <c r="J24" i="4"/>
  <c r="G13" i="4"/>
  <c r="F13" i="4"/>
  <c r="D13" i="4"/>
  <c r="G12" i="4"/>
  <c r="F12" i="4"/>
  <c r="E12" i="4"/>
  <c r="D12" i="4"/>
  <c r="C12" i="4"/>
  <c r="B12" i="4"/>
  <c r="G10" i="4"/>
  <c r="G11" i="4" s="1"/>
  <c r="F10" i="4"/>
  <c r="F11" i="4" s="1"/>
  <c r="E10" i="4"/>
  <c r="E11" i="4" s="1"/>
  <c r="H9" i="4"/>
  <c r="G9" i="4"/>
  <c r="F9" i="4"/>
  <c r="E9" i="4"/>
  <c r="D9" i="4"/>
  <c r="C9" i="4"/>
  <c r="B9" i="4"/>
  <c r="D7" i="4"/>
  <c r="C7" i="4"/>
  <c r="B7" i="4"/>
  <c r="C6" i="4"/>
  <c r="J24" i="3"/>
  <c r="G22" i="3"/>
  <c r="G8" i="3" s="1"/>
  <c r="F22" i="3"/>
  <c r="F25" i="3" s="1"/>
  <c r="E22" i="3"/>
  <c r="E25" i="3" s="1"/>
  <c r="D22" i="3"/>
  <c r="D25" i="3" s="1"/>
  <c r="D6" i="3" s="1"/>
  <c r="C22" i="3"/>
  <c r="C25" i="3" s="1"/>
  <c r="C6" i="3" s="1"/>
  <c r="B22" i="3"/>
  <c r="B25" i="3" s="1"/>
  <c r="B6" i="3" s="1"/>
  <c r="K20" i="3"/>
  <c r="J20" i="3"/>
  <c r="K19" i="3"/>
  <c r="J19" i="3"/>
  <c r="J18" i="3"/>
  <c r="K18" i="3" s="1"/>
  <c r="J17" i="3"/>
  <c r="K17" i="3" s="1"/>
  <c r="K16" i="3"/>
  <c r="J16" i="3"/>
  <c r="F8" i="3"/>
  <c r="E8" i="3"/>
  <c r="D8" i="3"/>
  <c r="C8" i="3"/>
  <c r="B8" i="3"/>
  <c r="G7" i="3"/>
  <c r="F7" i="3"/>
  <c r="E7" i="3"/>
  <c r="D7" i="3"/>
  <c r="C7" i="3"/>
  <c r="B7" i="3"/>
  <c r="E6" i="3"/>
  <c r="J108" i="2"/>
  <c r="K108" i="2" s="1"/>
  <c r="K107" i="2"/>
  <c r="J107" i="2"/>
  <c r="K106" i="2"/>
  <c r="J106" i="2"/>
  <c r="K105" i="2"/>
  <c r="J105" i="2"/>
  <c r="E103" i="2"/>
  <c r="D103" i="2"/>
  <c r="D50" i="2" s="1"/>
  <c r="C103" i="2"/>
  <c r="C50" i="2" s="1"/>
  <c r="B103" i="2"/>
  <c r="J102" i="2"/>
  <c r="G103" i="2"/>
  <c r="G50" i="2" s="1"/>
  <c r="F103" i="2"/>
  <c r="E99" i="2"/>
  <c r="D99" i="2"/>
  <c r="D49" i="2" s="1"/>
  <c r="C99" i="2"/>
  <c r="C49" i="2" s="1"/>
  <c r="B99" i="2"/>
  <c r="B49" i="2" s="1"/>
  <c r="K98" i="2"/>
  <c r="J98" i="2"/>
  <c r="J97" i="2"/>
  <c r="J96" i="2"/>
  <c r="K96" i="2" s="1"/>
  <c r="H99" i="2"/>
  <c r="H49" i="2" s="1"/>
  <c r="G99" i="2"/>
  <c r="G49" i="2" s="1"/>
  <c r="K94" i="2"/>
  <c r="E92" i="2"/>
  <c r="D92" i="2"/>
  <c r="C92" i="2"/>
  <c r="B92" i="2"/>
  <c r="B48" i="2" s="1"/>
  <c r="K91" i="2"/>
  <c r="J91" i="2"/>
  <c r="H92" i="2"/>
  <c r="E85" i="2"/>
  <c r="E29" i="15" s="1"/>
  <c r="D85" i="2"/>
  <c r="D29" i="15" s="1"/>
  <c r="C85" i="2"/>
  <c r="C29" i="15" s="1"/>
  <c r="B85" i="2"/>
  <c r="B29" i="15" s="1"/>
  <c r="J84" i="2"/>
  <c r="K84" i="2"/>
  <c r="J82" i="2"/>
  <c r="K82" i="2" s="1"/>
  <c r="J81" i="2"/>
  <c r="K81" i="2"/>
  <c r="J78" i="2"/>
  <c r="K76" i="2"/>
  <c r="J76" i="2"/>
  <c r="E69" i="2"/>
  <c r="D69" i="2"/>
  <c r="K67" i="2"/>
  <c r="J67" i="2"/>
  <c r="K66" i="2"/>
  <c r="J66" i="2"/>
  <c r="J65" i="2"/>
  <c r="J63" i="2"/>
  <c r="K63" i="2"/>
  <c r="E43" i="2"/>
  <c r="E45" i="2" s="1"/>
  <c r="E51" i="2" s="1"/>
  <c r="G27" i="15"/>
  <c r="J60" i="2"/>
  <c r="D44" i="2"/>
  <c r="C44" i="2"/>
  <c r="B44" i="2"/>
  <c r="J59" i="2"/>
  <c r="K59" i="2" s="1"/>
  <c r="C69" i="2"/>
  <c r="H43" i="2"/>
  <c r="G43" i="2"/>
  <c r="G45" i="2" s="1"/>
  <c r="E50" i="2"/>
  <c r="B50" i="2"/>
  <c r="E49" i="2"/>
  <c r="E48" i="2"/>
  <c r="D48" i="2"/>
  <c r="C48" i="2"/>
  <c r="E47" i="2"/>
  <c r="D47" i="2"/>
  <c r="D51" i="2" s="1"/>
  <c r="C47" i="2"/>
  <c r="C51" i="2" s="1"/>
  <c r="B47" i="2"/>
  <c r="G44" i="2"/>
  <c r="F44" i="2"/>
  <c r="E44" i="2"/>
  <c r="D43" i="2"/>
  <c r="D45" i="2" s="1"/>
  <c r="C43" i="2"/>
  <c r="C45" i="2" s="1"/>
  <c r="B43" i="2"/>
  <c r="B45" i="2" s="1"/>
  <c r="B51" i="2" s="1"/>
  <c r="C37" i="2"/>
  <c r="G31" i="2"/>
  <c r="G32" i="2" s="1"/>
  <c r="B31" i="2"/>
  <c r="B32" i="2" s="1"/>
  <c r="J30" i="2"/>
  <c r="K30" i="2" s="1"/>
  <c r="H29" i="2"/>
  <c r="J29" i="2" s="1"/>
  <c r="G29" i="2"/>
  <c r="F29" i="2"/>
  <c r="E29" i="2"/>
  <c r="E31" i="2" s="1"/>
  <c r="E32" i="2" s="1"/>
  <c r="D29" i="2"/>
  <c r="D31" i="2" s="1"/>
  <c r="D32" i="2" s="1"/>
  <c r="C29" i="2"/>
  <c r="C31" i="2" s="1"/>
  <c r="C32" i="2" s="1"/>
  <c r="K26" i="2"/>
  <c r="J26" i="2"/>
  <c r="K25" i="2"/>
  <c r="J25" i="2"/>
  <c r="K24" i="2"/>
  <c r="J24" i="2"/>
  <c r="K23" i="2"/>
  <c r="J23" i="2"/>
  <c r="D21" i="2"/>
  <c r="C21" i="2"/>
  <c r="B21" i="2"/>
  <c r="C20" i="2"/>
  <c r="B20" i="2"/>
  <c r="B19" i="2"/>
  <c r="F15" i="2"/>
  <c r="E15" i="2"/>
  <c r="D15" i="2"/>
  <c r="C15" i="2"/>
  <c r="B15" i="2"/>
  <c r="H22" i="15"/>
  <c r="D13" i="2"/>
  <c r="C13" i="2"/>
  <c r="B13" i="2"/>
  <c r="C12" i="2"/>
  <c r="B12" i="2"/>
  <c r="J10" i="2"/>
  <c r="H7" i="10"/>
  <c r="G7" i="10"/>
  <c r="F7" i="10"/>
  <c r="C7" i="2"/>
  <c r="C27" i="2" s="1"/>
  <c r="J7" i="8" l="1"/>
  <c r="J15" i="8" s="1"/>
  <c r="K7" i="8" s="1"/>
  <c r="K15" i="8" s="1"/>
  <c r="E13" i="2"/>
  <c r="F50" i="2"/>
  <c r="K9" i="5"/>
  <c r="J9" i="5"/>
  <c r="J21" i="8"/>
  <c r="J28" i="8" s="1"/>
  <c r="K21" i="8" s="1"/>
  <c r="K28" i="8" s="1"/>
  <c r="E7" i="4"/>
  <c r="K64" i="2"/>
  <c r="K61" i="2"/>
  <c r="C26" i="15"/>
  <c r="C30" i="15" s="1"/>
  <c r="C36" i="2" s="1"/>
  <c r="C104" i="2"/>
  <c r="F6" i="5"/>
  <c r="K17" i="6"/>
  <c r="K77" i="2"/>
  <c r="H31" i="2"/>
  <c r="F69" i="2"/>
  <c r="J77" i="2"/>
  <c r="J29" i="4"/>
  <c r="K29" i="4" s="1"/>
  <c r="F12" i="5"/>
  <c r="G13" i="5"/>
  <c r="G10" i="5"/>
  <c r="G11" i="5" s="1"/>
  <c r="J32" i="7"/>
  <c r="E34" i="11"/>
  <c r="J64" i="2"/>
  <c r="G69" i="2"/>
  <c r="J80" i="2"/>
  <c r="K80" i="2" s="1"/>
  <c r="J89" i="2"/>
  <c r="K89" i="2" s="1"/>
  <c r="H22" i="3"/>
  <c r="G12" i="5"/>
  <c r="H27" i="5"/>
  <c r="H66" i="7"/>
  <c r="K59" i="7"/>
  <c r="J59" i="7"/>
  <c r="E7" i="5"/>
  <c r="J34" i="8"/>
  <c r="J39" i="8" s="1"/>
  <c r="K34" i="8" s="1"/>
  <c r="K39" i="8" s="1"/>
  <c r="J14" i="2"/>
  <c r="K14" i="2" s="1"/>
  <c r="K29" i="2"/>
  <c r="H44" i="2"/>
  <c r="H45" i="2" s="1"/>
  <c r="H69" i="2"/>
  <c r="K78" i="2"/>
  <c r="J83" i="2"/>
  <c r="K83" i="2" s="1"/>
  <c r="F92" i="2"/>
  <c r="J24" i="5"/>
  <c r="C27" i="10"/>
  <c r="C29" i="10" s="1"/>
  <c r="C18" i="15"/>
  <c r="C19" i="2" s="1"/>
  <c r="C16" i="15"/>
  <c r="C17" i="2" s="1"/>
  <c r="K65" i="2"/>
  <c r="G92" i="2"/>
  <c r="G48" i="2" s="1"/>
  <c r="K90" i="2"/>
  <c r="K9" i="4"/>
  <c r="H27" i="4"/>
  <c r="J20" i="4"/>
  <c r="K20" i="4" s="1"/>
  <c r="K11" i="6"/>
  <c r="J11" i="6"/>
  <c r="F47" i="12"/>
  <c r="G43" i="12" s="1"/>
  <c r="K97" i="2"/>
  <c r="F99" i="2"/>
  <c r="H8" i="3"/>
  <c r="H34" i="11"/>
  <c r="D19" i="15"/>
  <c r="D20" i="2" s="1"/>
  <c r="H47" i="12"/>
  <c r="G85" i="2"/>
  <c r="J87" i="2"/>
  <c r="J90" i="2"/>
  <c r="J15" i="3"/>
  <c r="K15" i="3" s="1"/>
  <c r="J21" i="3"/>
  <c r="K21" i="3" s="1"/>
  <c r="J9" i="4"/>
  <c r="B10" i="4"/>
  <c r="B11" i="4" s="1"/>
  <c r="B13" i="4"/>
  <c r="G35" i="7"/>
  <c r="K35" i="7" s="1"/>
  <c r="E19" i="15"/>
  <c r="E20" i="2" s="1"/>
  <c r="J58" i="2"/>
  <c r="K58" i="2" s="1"/>
  <c r="K62" i="2"/>
  <c r="F27" i="15"/>
  <c r="H85" i="2"/>
  <c r="K87" i="2"/>
  <c r="J94" i="2"/>
  <c r="K24" i="3"/>
  <c r="J22" i="4"/>
  <c r="K22" i="4" s="1"/>
  <c r="C13" i="4"/>
  <c r="C10" i="4"/>
  <c r="C11" i="4" s="1"/>
  <c r="J20" i="5"/>
  <c r="K20" i="5" s="1"/>
  <c r="G30" i="5"/>
  <c r="G6" i="5" s="1"/>
  <c r="H35" i="7"/>
  <c r="J35" i="7" s="1"/>
  <c r="K49" i="7"/>
  <c r="F9" i="15"/>
  <c r="E104" i="2"/>
  <c r="E26" i="15"/>
  <c r="J9" i="2"/>
  <c r="K9" i="2"/>
  <c r="F43" i="2"/>
  <c r="J43" i="2" s="1"/>
  <c r="J18" i="7"/>
  <c r="G9" i="15"/>
  <c r="E30" i="15"/>
  <c r="E36" i="2" s="1"/>
  <c r="K68" i="2"/>
  <c r="B69" i="2"/>
  <c r="H27" i="15"/>
  <c r="J62" i="2"/>
  <c r="J68" i="2"/>
  <c r="J8" i="5"/>
  <c r="K8" i="5" s="1"/>
  <c r="K21" i="5"/>
  <c r="J21" i="5"/>
  <c r="J17" i="6"/>
  <c r="F34" i="11"/>
  <c r="H9" i="15"/>
  <c r="F13" i="5"/>
  <c r="F10" i="5"/>
  <c r="J61" i="2"/>
  <c r="K60" i="2"/>
  <c r="F85" i="2"/>
  <c r="J79" i="2"/>
  <c r="K79" i="2" s="1"/>
  <c r="K88" i="2"/>
  <c r="J101" i="2"/>
  <c r="K101" i="2" s="1"/>
  <c r="H103" i="2"/>
  <c r="F6" i="3"/>
  <c r="J23" i="4"/>
  <c r="K23" i="4" s="1"/>
  <c r="F6" i="4"/>
  <c r="D13" i="5"/>
  <c r="D10" i="5"/>
  <c r="D11" i="5" s="1"/>
  <c r="H15" i="6"/>
  <c r="B34" i="11"/>
  <c r="K102" i="2"/>
  <c r="F9" i="10"/>
  <c r="F27" i="10" s="1"/>
  <c r="F29" i="10" s="1"/>
  <c r="K10" i="2"/>
  <c r="F10" i="15"/>
  <c r="F20" i="15" s="1"/>
  <c r="F21" i="2" s="1"/>
  <c r="G9" i="10"/>
  <c r="G27" i="10" s="1"/>
  <c r="G29" i="10" s="1"/>
  <c r="G10" i="15"/>
  <c r="G20" i="15" s="1"/>
  <c r="G21" i="2" s="1"/>
  <c r="J15" i="2"/>
  <c r="K15" i="2" s="1"/>
  <c r="H48" i="2"/>
  <c r="H9" i="10"/>
  <c r="H27" i="10" s="1"/>
  <c r="H29" i="10" s="1"/>
  <c r="H10" i="15"/>
  <c r="H20" i="15" s="1"/>
  <c r="H21" i="2" s="1"/>
  <c r="F31" i="2"/>
  <c r="D104" i="2"/>
  <c r="D26" i="15"/>
  <c r="D30" i="15" s="1"/>
  <c r="D36" i="2" s="1"/>
  <c r="J95" i="2"/>
  <c r="K95" i="2" s="1"/>
  <c r="H12" i="4"/>
  <c r="J12" i="4" s="1"/>
  <c r="D12" i="5"/>
  <c r="E10" i="5"/>
  <c r="E11" i="5" s="1"/>
  <c r="E13" i="5"/>
  <c r="G42" i="12"/>
  <c r="G47" i="12" s="1"/>
  <c r="H43" i="12" s="1"/>
  <c r="J88" i="2"/>
  <c r="J8" i="4"/>
  <c r="K8" i="4" s="1"/>
  <c r="J21" i="4"/>
  <c r="K21" i="4" s="1"/>
  <c r="J25" i="4"/>
  <c r="K25" i="4" s="1"/>
  <c r="J22" i="5"/>
  <c r="K22" i="5" s="1"/>
  <c r="J26" i="5"/>
  <c r="K26" i="5" s="1"/>
  <c r="J29" i="5"/>
  <c r="K29" i="5" s="1"/>
  <c r="J8" i="6"/>
  <c r="K8" i="6" s="1"/>
  <c r="G25" i="3"/>
  <c r="G6" i="3" s="1"/>
  <c r="B12" i="5"/>
  <c r="C12" i="5"/>
  <c r="B30" i="5"/>
  <c r="B6" i="5" s="1"/>
  <c r="C30" i="5"/>
  <c r="C6" i="5" s="1"/>
  <c r="C10" i="5"/>
  <c r="C11" i="5" s="1"/>
  <c r="K21" i="2" l="1"/>
  <c r="J103" i="2"/>
  <c r="H50" i="2"/>
  <c r="J50" i="2" s="1"/>
  <c r="J27" i="5"/>
  <c r="H10" i="5"/>
  <c r="H30" i="5"/>
  <c r="H12" i="5"/>
  <c r="J12" i="5" s="1"/>
  <c r="K103" i="2"/>
  <c r="G47" i="2"/>
  <c r="G51" i="2" s="1"/>
  <c r="G29" i="15"/>
  <c r="G30" i="15" s="1"/>
  <c r="G36" i="2" s="1"/>
  <c r="H69" i="7"/>
  <c r="J66" i="7"/>
  <c r="K66" i="7" s="1"/>
  <c r="G19" i="15"/>
  <c r="G20" i="2" s="1"/>
  <c r="G18" i="15"/>
  <c r="G19" i="2" s="1"/>
  <c r="H30" i="4"/>
  <c r="J27" i="4"/>
  <c r="K27" i="4" s="1"/>
  <c r="H10" i="4"/>
  <c r="H13" i="5"/>
  <c r="J13" i="5" s="1"/>
  <c r="K50" i="2"/>
  <c r="D23" i="15"/>
  <c r="D34" i="2" s="1"/>
  <c r="D24" i="15"/>
  <c r="D35" i="2" s="1"/>
  <c r="C23" i="15"/>
  <c r="C34" i="2" s="1"/>
  <c r="C24" i="15"/>
  <c r="C35" i="2" s="1"/>
  <c r="K43" i="2"/>
  <c r="F45" i="2"/>
  <c r="H26" i="15"/>
  <c r="H104" i="2"/>
  <c r="J69" i="2"/>
  <c r="K69" i="2" s="1"/>
  <c r="B26" i="15"/>
  <c r="B104" i="2"/>
  <c r="K31" i="2"/>
  <c r="F32" i="2"/>
  <c r="J15" i="6"/>
  <c r="H18" i="6"/>
  <c r="K15" i="6"/>
  <c r="F47" i="2"/>
  <c r="F29" i="15"/>
  <c r="J8" i="3"/>
  <c r="K8" i="3" s="1"/>
  <c r="J44" i="2"/>
  <c r="K44" i="2" s="1"/>
  <c r="H13" i="4"/>
  <c r="J13" i="4" s="1"/>
  <c r="F13" i="2"/>
  <c r="L7" i="8"/>
  <c r="L15" i="8" s="1"/>
  <c r="M7" i="8" s="1"/>
  <c r="M15" i="8" s="1"/>
  <c r="F48" i="2"/>
  <c r="D8" i="15"/>
  <c r="D17" i="15" s="1"/>
  <c r="D18" i="2" s="1"/>
  <c r="D8" i="2"/>
  <c r="D109" i="2"/>
  <c r="J21" i="2"/>
  <c r="K99" i="2"/>
  <c r="F49" i="2"/>
  <c r="H25" i="3"/>
  <c r="H7" i="3"/>
  <c r="J22" i="3"/>
  <c r="K22" i="3" s="1"/>
  <c r="E23" i="15"/>
  <c r="E34" i="2" s="1"/>
  <c r="E24" i="15"/>
  <c r="E35" i="2" s="1"/>
  <c r="F104" i="2"/>
  <c r="F26" i="15"/>
  <c r="L21" i="8"/>
  <c r="L28" i="8" s="1"/>
  <c r="M21" i="8" s="1"/>
  <c r="M28" i="8" s="1"/>
  <c r="F7" i="4"/>
  <c r="J48" i="2"/>
  <c r="F11" i="5"/>
  <c r="E8" i="15"/>
  <c r="E17" i="15" s="1"/>
  <c r="E18" i="2" s="1"/>
  <c r="E109" i="2"/>
  <c r="E8" i="2"/>
  <c r="J99" i="2"/>
  <c r="J92" i="2"/>
  <c r="K92" i="2" s="1"/>
  <c r="L34" i="8"/>
  <c r="L39" i="8" s="1"/>
  <c r="M34" i="8" s="1"/>
  <c r="M39" i="8" s="1"/>
  <c r="F7" i="5"/>
  <c r="H32" i="2"/>
  <c r="J31" i="2"/>
  <c r="F19" i="15"/>
  <c r="F20" i="2" s="1"/>
  <c r="F18" i="15"/>
  <c r="F19" i="2" s="1"/>
  <c r="H47" i="2"/>
  <c r="J47" i="2" s="1"/>
  <c r="H29" i="15"/>
  <c r="H30" i="15" s="1"/>
  <c r="H36" i="2" s="1"/>
  <c r="J85" i="2"/>
  <c r="K85" i="2" s="1"/>
  <c r="G26" i="15"/>
  <c r="G104" i="2"/>
  <c r="H18" i="15"/>
  <c r="H19" i="2" s="1"/>
  <c r="K27" i="5"/>
  <c r="C8" i="2"/>
  <c r="C8" i="15"/>
  <c r="C17" i="15" s="1"/>
  <c r="C18" i="2" s="1"/>
  <c r="J49" i="2" l="1"/>
  <c r="K49" i="2" s="1"/>
  <c r="B8" i="2"/>
  <c r="B109" i="2"/>
  <c r="B8" i="15"/>
  <c r="B17" i="15" s="1"/>
  <c r="B18" i="2" s="1"/>
  <c r="B24" i="15"/>
  <c r="B35" i="2" s="1"/>
  <c r="B23" i="15"/>
  <c r="B34" i="2" s="1"/>
  <c r="B30" i="15"/>
  <c r="B36" i="2" s="1"/>
  <c r="J10" i="4"/>
  <c r="K10" i="4"/>
  <c r="H11" i="4"/>
  <c r="J11" i="4" s="1"/>
  <c r="K7" i="4"/>
  <c r="J32" i="2"/>
  <c r="N21" i="8"/>
  <c r="N28" i="8" s="1"/>
  <c r="O21" i="8" s="1"/>
  <c r="O28" i="8" s="1"/>
  <c r="H7" i="4" s="1"/>
  <c r="J7" i="4" s="1"/>
  <c r="G7" i="4"/>
  <c r="J30" i="5"/>
  <c r="H6" i="5"/>
  <c r="K30" i="5"/>
  <c r="F23" i="15"/>
  <c r="F34" i="2" s="1"/>
  <c r="F24" i="15"/>
  <c r="F35" i="2" s="1"/>
  <c r="D7" i="15"/>
  <c r="D7" i="2"/>
  <c r="D27" i="2" s="1"/>
  <c r="H8" i="2"/>
  <c r="J8" i="2" s="1"/>
  <c r="H8" i="15"/>
  <c r="H17" i="15" s="1"/>
  <c r="H18" i="2" s="1"/>
  <c r="H109" i="2"/>
  <c r="J104" i="2"/>
  <c r="H11" i="5"/>
  <c r="J11" i="5" s="1"/>
  <c r="J10" i="5"/>
  <c r="K10" i="5" s="1"/>
  <c r="H19" i="15"/>
  <c r="H20" i="2" s="1"/>
  <c r="J20" i="2" s="1"/>
  <c r="N34" i="8"/>
  <c r="N39" i="8" s="1"/>
  <c r="O34" i="8" s="1"/>
  <c r="O39" i="8" s="1"/>
  <c r="H7" i="5" s="1"/>
  <c r="J7" i="5" s="1"/>
  <c r="G7" i="5"/>
  <c r="H23" i="15"/>
  <c r="H34" i="2" s="1"/>
  <c r="J34" i="2" s="1"/>
  <c r="H24" i="15"/>
  <c r="H35" i="2" s="1"/>
  <c r="J35" i="2" s="1"/>
  <c r="H6" i="4"/>
  <c r="J30" i="4"/>
  <c r="K30" i="4" s="1"/>
  <c r="J25" i="3"/>
  <c r="H6" i="3"/>
  <c r="K25" i="3"/>
  <c r="F8" i="15"/>
  <c r="F17" i="15" s="1"/>
  <c r="F18" i="2" s="1"/>
  <c r="F109" i="2"/>
  <c r="K104" i="2"/>
  <c r="F8" i="2"/>
  <c r="F30" i="15"/>
  <c r="F36" i="2" s="1"/>
  <c r="F51" i="2"/>
  <c r="K20" i="2"/>
  <c r="K48" i="2"/>
  <c r="K47" i="2"/>
  <c r="G23" i="15"/>
  <c r="G34" i="2" s="1"/>
  <c r="G24" i="15"/>
  <c r="G35" i="2" s="1"/>
  <c r="K7" i="3"/>
  <c r="J7" i="3"/>
  <c r="G8" i="15"/>
  <c r="G17" i="15" s="1"/>
  <c r="G18" i="2" s="1"/>
  <c r="G109" i="2"/>
  <c r="G8" i="2"/>
  <c r="E7" i="2"/>
  <c r="E27" i="2" s="1"/>
  <c r="E7" i="15"/>
  <c r="N7" i="8"/>
  <c r="N15" i="8" s="1"/>
  <c r="O7" i="8" s="1"/>
  <c r="O15" i="8" s="1"/>
  <c r="G13" i="2"/>
  <c r="G12" i="2"/>
  <c r="J18" i="6"/>
  <c r="K18" i="6"/>
  <c r="H51" i="2"/>
  <c r="J19" i="2"/>
  <c r="K19" i="2" s="1"/>
  <c r="J36" i="2"/>
  <c r="J69" i="7"/>
  <c r="K69" i="7"/>
  <c r="J45" i="2"/>
  <c r="K45" i="2" s="1"/>
  <c r="E16" i="15" l="1"/>
  <c r="E17" i="2" s="1"/>
  <c r="E35" i="15"/>
  <c r="E37" i="2" s="1"/>
  <c r="J6" i="4"/>
  <c r="K6" i="4"/>
  <c r="D16" i="15"/>
  <c r="D17" i="2" s="1"/>
  <c r="D35" i="15"/>
  <c r="D37" i="2" s="1"/>
  <c r="G7" i="15"/>
  <c r="G7" i="2"/>
  <c r="G27" i="2" s="1"/>
  <c r="K8" i="2"/>
  <c r="K7" i="5"/>
  <c r="K109" i="2"/>
  <c r="F7" i="2"/>
  <c r="F7" i="15"/>
  <c r="J6" i="5"/>
  <c r="K6" i="5"/>
  <c r="B7" i="15"/>
  <c r="B7" i="2"/>
  <c r="B27" i="2" s="1"/>
  <c r="H13" i="2"/>
  <c r="H12" i="2"/>
  <c r="J6" i="3"/>
  <c r="K6" i="3"/>
  <c r="J51" i="2"/>
  <c r="K51" i="2" s="1"/>
  <c r="J109" i="2"/>
  <c r="H7" i="2"/>
  <c r="H7" i="15"/>
  <c r="J18" i="2"/>
  <c r="K18" i="2" s="1"/>
  <c r="G35" i="15" l="1"/>
  <c r="G37" i="2" s="1"/>
  <c r="G16" i="15"/>
  <c r="G17" i="2" s="1"/>
  <c r="J13" i="2"/>
  <c r="K13" i="2"/>
  <c r="B35" i="15"/>
  <c r="B37" i="2" s="1"/>
  <c r="B16" i="15"/>
  <c r="B17" i="2" s="1"/>
  <c r="J12" i="2"/>
  <c r="K12" i="2" s="1"/>
  <c r="H27" i="2"/>
  <c r="J27" i="2" s="1"/>
  <c r="J7" i="2"/>
  <c r="K7" i="2" s="1"/>
  <c r="F35" i="15"/>
  <c r="F37" i="2" s="1"/>
  <c r="F16" i="15"/>
  <c r="F17" i="2" s="1"/>
  <c r="H35" i="15"/>
  <c r="H37" i="2" s="1"/>
  <c r="H16" i="15"/>
  <c r="H17" i="2" s="1"/>
  <c r="F27" i="2"/>
  <c r="K27" i="2" l="1"/>
  <c r="J17" i="2"/>
  <c r="K17" i="2" s="1"/>
  <c r="J37" i="2"/>
</calcChain>
</file>

<file path=xl/sharedStrings.xml><?xml version="1.0" encoding="utf-8"?>
<sst xmlns="http://schemas.openxmlformats.org/spreadsheetml/2006/main" count="930" uniqueCount="327">
  <si>
    <t>Insignia Financial Ltd</t>
  </si>
  <si>
    <t>Insignia Financial Investor and Analyst Pack - Important Disclaimer</t>
  </si>
  <si>
    <r>
      <t xml:space="preserve">Important information
 </t>
    </r>
    <r>
      <rPr>
        <sz val="10"/>
        <color theme="1"/>
        <rFont val="Arial"/>
        <family val="2"/>
      </rPr>
      <t xml:space="preserve">
This analyst pack has been prepared by Insignia Financial Ltd ABN 49 100 103 722 (Insignia Financial). It is general information on Insignia Financial and its subsidiaries (Insignia Financial Group) current as at 23 February 2023.
It is in summary form and is not necessarily complete. It should be read together with Insignia Financial’s condensed consolidated interim financial report for the half year ended 31 December 2022 lodged with the ASX on 23 February 2023 (Half Year Report). Information and statements in this pack do not constitute investment advice or a recommendation in relation to Insignia Financial or any product or service offered by Insignia Financial or any of its subsidiaries and should not be relied upon for this purpose. Prior to making a decision in relation to Insignia Financial’s securities, products or services, investors or clients and potential investors or clients should consider their own investment objectives, financial situation and needs and obtain professional advice.
The information in this presentation may include information contributed by third parties. Insignia Financial Group does not warrant the accuracy or completeness of any information contributed by a third party. No representation or warranty is made as to the accuracy, adequacy or reliability of any statements, estimates, opinions or other information contained in the presentation (any of which may change without notice). To the extent permitted by law, no liability is accepted for any loss or damage as a result of any reliance on this presentation. Past performance is not indicative of future performance.
This presentation contains forward looking statements, including statements regarding Insignia Financial’s intent, objective, belief or current expectation relating to Insignia Financial’s businesses and operations, market conditions or results of operations and financial condition, including any statements related to or affected by the ongoing impact of the COVID-19 pandemic and remediation programs. These are based on Insignia Financial’s current expectations about future events and is subject to known and unknown risks and uncertainties, many of which are beyond the control of the Insignia Financial Group. Actual events may differ materially from those contemplated in such forward looking statements and could cause actual results, performance or events to differ materially from those express or implied. Forward looking statements are not guarantees or representations about future performance and should not be relied upon as such.
Insignia Financial does not undertake to update any forward-looking statement to reflect events or circumstances after the date of this presentation, subject to its regulatory and disclosure requirements.</t>
    </r>
  </si>
  <si>
    <t>Underlying net profit after tax pre amortisation (UNPAT) attributable to equity holders of Insignia Financial reflect an assessment of the result for the ongoing business of the Insignia Financial Group as determined by the Board and management. UNPAT has been calculated with regard to ASIC's Regulatory Guide 230 Disclosing non-IFRS financial information and the adjustments to NPAT are set out on pages 9 and 10 of the 31 December 2022 Half year Report. UNPAT attributable to equity holders of Insignia Financial has not been reviewed or audited by the Group's external auditors, however the adjustments to NPAT attributable to equity holders of Insignia Financial have been extracted from the books and records that have been reviewed by the external auditor. UNPAT is disclosed as it is useful for investors to gain a better understanding of Insignia Financial’s financial results from normal operating activities.
Nothing in this presentation should be construed as either an offer to sell or solicitation of an offer to buy or sell Insignia Financial Group securities or units in any fund referred to in this presentation in any jurisdiction. The Product Disclosure Statement (PDS) for these funds are issued by the applicable members of the Insignia Financial Group. The applicable PDS should be considered before deciding whether to acquire or hold units in a fund and can be obtained by calling 1800 913 118 or visiting our website www.insigniafinancial.com.au
All references to currency in this presentation are to Australian currency, unless otherwise stated. Certain figures may be subject to rounding differences.</t>
  </si>
  <si>
    <t>Group Result - Key Measures</t>
  </si>
  <si>
    <t>Historical period restatements in 1H22 and 2H22 relate to finalisation of purchase price accounting (PPA) adjustments for MLC acquisition, and finalisation of AET divestment impacts
Totals subject to rounding</t>
  </si>
  <si>
    <t>1H20</t>
  </si>
  <si>
    <t>2H20</t>
  </si>
  <si>
    <t>1H21</t>
  </si>
  <si>
    <t>2H21</t>
  </si>
  <si>
    <t>1H22</t>
  </si>
  <si>
    <t>2H22</t>
  </si>
  <si>
    <t>1H23</t>
  </si>
  <si>
    <t>1H22 v 1H23</t>
  </si>
  <si>
    <t>NPAT</t>
  </si>
  <si>
    <t>UNPAT ($m)</t>
  </si>
  <si>
    <t>UNPAT (Continuing Operations) ($m)</t>
  </si>
  <si>
    <t>Statutory NPAT ($m)</t>
  </si>
  <si>
    <t>Statutory NPAT (Continuing Operations) ($m)</t>
  </si>
  <si>
    <t>FUMA</t>
  </si>
  <si>
    <t>Closing FUMA ($b)</t>
  </si>
  <si>
    <t>Closing FUMA (Continuing Operations) ($b)</t>
  </si>
  <si>
    <t>Average FUMA (Continuing Operations) ($b)</t>
  </si>
  <si>
    <t>Net Flows ex-JANA (Continuing Operations) ($b)</t>
  </si>
  <si>
    <t>EPS</t>
  </si>
  <si>
    <t>UNPAT EPS (cents per share)</t>
  </si>
  <si>
    <t>UNPAT EPS (Continuing Operations) (cents per share)</t>
  </si>
  <si>
    <t>Basic EPS (cents per share)</t>
  </si>
  <si>
    <t>Diluted EPS (cents per share)</t>
  </si>
  <si>
    <t>Basic EPS (Continuing Operations) (cents per share)</t>
  </si>
  <si>
    <t>Dividends</t>
  </si>
  <si>
    <t>Ordinary dividends declared ($m)</t>
  </si>
  <si>
    <t>Ordinary dividends declared (cents per share)</t>
  </si>
  <si>
    <t>Special dividends declared ($m)</t>
  </si>
  <si>
    <t>Special dividends declared (cents per share)</t>
  </si>
  <si>
    <t>Payout ratio</t>
  </si>
  <si>
    <t>Share Price</t>
  </si>
  <si>
    <t>Opening share price</t>
  </si>
  <si>
    <t>Closing share price</t>
  </si>
  <si>
    <t>Total shareholder return</t>
  </si>
  <si>
    <t>Total shareholder return (%)</t>
  </si>
  <si>
    <t>Ratios</t>
  </si>
  <si>
    <t>Net revenue margin</t>
  </si>
  <si>
    <t>EBITDA margin</t>
  </si>
  <si>
    <t>Cost to income</t>
  </si>
  <si>
    <t>Return on equity</t>
  </si>
  <si>
    <t>Underlying Group Result - P&amp;L Summary (Continuing Operations)</t>
  </si>
  <si>
    <t>Historical period restatements in 1H22 and 2H22 relate to finalisation of purchase price accounting (PPA) adjustments for MLC acquisition, and finalisation of AET divestment impacts
Revenue shown inclusive of Other Revenue and Equity Accounted Profits 
Totals subject to rounding</t>
  </si>
  <si>
    <t>$m</t>
  </si>
  <si>
    <t>%</t>
  </si>
  <si>
    <t>Revenue</t>
  </si>
  <si>
    <t>Direct Costs</t>
  </si>
  <si>
    <t>Net Revenue</t>
  </si>
  <si>
    <t>Operating Expenditure</t>
  </si>
  <si>
    <t>Net Non-cash</t>
  </si>
  <si>
    <t>Net Interest</t>
  </si>
  <si>
    <t>Income Tax Expense/Non-controlling Interest</t>
  </si>
  <si>
    <t>UNPAT</t>
  </si>
  <si>
    <t>Underlying Group Result - P&amp;L Detail</t>
  </si>
  <si>
    <t>Historical period restatements in 1H22 and 2H22 relate to the reclassification of performance fee revenue between management and services fees revenue and other fee revenue
Totals subject to rounding</t>
  </si>
  <si>
    <t>Management and Service fees revenue</t>
  </si>
  <si>
    <t>Other Fee Revenue</t>
  </si>
  <si>
    <t>Service fee expense</t>
  </si>
  <si>
    <t>Other Direct Costs</t>
  </si>
  <si>
    <t>Amortisation of deferred acquisition costs</t>
  </si>
  <si>
    <t>Stockbroking revenue</t>
  </si>
  <si>
    <t>Stockbroking service fees expense</t>
  </si>
  <si>
    <t>Dividends and distributions received</t>
  </si>
  <si>
    <t>Net fair value gains/(losses) on other financial assets at fair value through profit or loss</t>
  </si>
  <si>
    <t>Other revenue</t>
  </si>
  <si>
    <t>Equity Accounted Profits</t>
  </si>
  <si>
    <t>Total Net Revenue</t>
  </si>
  <si>
    <t>Underlying Group Result - P&amp;L Detail (continued)</t>
  </si>
  <si>
    <t>Historical period restatements in 1H22 and 2H22 relate to finalisation of purchase price accounting (PPA) adjustments for MLC acquisition, finalisation of AET divestment impacts and reclassifications of IT consulting fees from professional fees to information technology costs, and interest income on ORFR reserve from interest income from non-related entities to interest income on financial assets measured at fair value
Totals subject to rounding</t>
  </si>
  <si>
    <t>Salaries and related employee expenses</t>
  </si>
  <si>
    <t>Employee defined contribution plan expense</t>
  </si>
  <si>
    <t>Information technology costs</t>
  </si>
  <si>
    <t>Professional fees</t>
  </si>
  <si>
    <t>Marketing</t>
  </si>
  <si>
    <t>Office support and administration</t>
  </si>
  <si>
    <t>Occupancy related expenses</t>
  </si>
  <si>
    <t>Travel and entertainment</t>
  </si>
  <si>
    <t>Other</t>
  </si>
  <si>
    <t>Total Operating Expenditure</t>
  </si>
  <si>
    <t>Net non cash (Ex. Amortisation from acquisitions)</t>
  </si>
  <si>
    <t>Share based payments expense</t>
  </si>
  <si>
    <t>Depreciation of property, plant and equipment</t>
  </si>
  <si>
    <t>Amortisation of intangible assets - IT development</t>
  </si>
  <si>
    <t>Impairment expense</t>
  </si>
  <si>
    <t>Loss on sale of subsidiary</t>
  </si>
  <si>
    <t>Total Net non cash (Ex. Amortisation from acquisitions)</t>
  </si>
  <si>
    <t>Interest income on loans to directors of controlled and associated entities</t>
  </si>
  <si>
    <t>Interest income on financial assets measured at fair value</t>
  </si>
  <si>
    <t>Interest income from non-related entities</t>
  </si>
  <si>
    <t>Loss on financial instruments</t>
  </si>
  <si>
    <t>Finance Costs</t>
  </si>
  <si>
    <t>Total Net Interest</t>
  </si>
  <si>
    <t>Income Tax &amp; NCI</t>
  </si>
  <si>
    <t>Non-controlling Interest</t>
  </si>
  <si>
    <t>Income tax expense</t>
  </si>
  <si>
    <t>Total Income Tax &amp; NCI</t>
  </si>
  <si>
    <t>Underlying NPAT excluding Discontinued Operations</t>
  </si>
  <si>
    <t>Discontinued Operations - Ord Minnett</t>
  </si>
  <si>
    <t>Discontinued Operations - IOOF NZ</t>
  </si>
  <si>
    <t>Discontinued Operations - PVM</t>
  </si>
  <si>
    <t>Discontinued Operations - AET</t>
  </si>
  <si>
    <t>Underlying NPAT (pre-amortisation of intangible assets)</t>
  </si>
  <si>
    <t>Advice - Key Measures</t>
  </si>
  <si>
    <t>Totals subject to rounding</t>
  </si>
  <si>
    <t>Segment EBITDA ($m)</t>
  </si>
  <si>
    <t>Net revenue ($m)</t>
  </si>
  <si>
    <t>Advice - P&amp;L</t>
  </si>
  <si>
    <t>Segment results include inter-segment revenues and expenses eliminated on consolidation 
Totals subject to rounding</t>
  </si>
  <si>
    <t>Other Revenue</t>
  </si>
  <si>
    <t>Operating Expenditure incl Corporate Recharge</t>
  </si>
  <si>
    <t>Segment EBITDA</t>
  </si>
  <si>
    <t>Platforms - Key Measures</t>
  </si>
  <si>
    <t>Closing FUAdm ($b)</t>
  </si>
  <si>
    <t>Average FUAdm ($b)</t>
  </si>
  <si>
    <t>Net flows ($b)</t>
  </si>
  <si>
    <t>Platforms - P&amp;L</t>
  </si>
  <si>
    <t>Asset Management - Key Measures</t>
  </si>
  <si>
    <t>Closing FUM ($b)</t>
  </si>
  <si>
    <t>Average FUM ($b)</t>
  </si>
  <si>
    <t>Net flows ex-JANA ($b)</t>
  </si>
  <si>
    <t>Asset Management - P&amp;L</t>
  </si>
  <si>
    <t>Historical period restatements in 1H22 and 2H22 relate to the reclassification of performance fee revenue from management and services fees revenue to other fee revenue
Segment results include inter-segment revenues and expenses eliminated on consolidation
Totals subject to rounding</t>
  </si>
  <si>
    <t>Corporate - P&amp;L</t>
  </si>
  <si>
    <t>Discontinued Operations - IOOF NZ - P&amp;L</t>
  </si>
  <si>
    <t>Divested April 2020
Totals subject to rounding</t>
  </si>
  <si>
    <t>Discontinued Operations - Ord Minnett - P&amp;L</t>
  </si>
  <si>
    <t>Divested September 2019
Totals subject to rounding</t>
  </si>
  <si>
    <t>Discontinued Operations - Perennial Value Management - P&amp;L</t>
  </si>
  <si>
    <t>Divested October 2019
Totals subject to rounding</t>
  </si>
  <si>
    <t>Discontinued Operations - Australian Executor Trustees (AET) - P&amp;L</t>
  </si>
  <si>
    <t>Divested November 2022 
Totals subject to rounding</t>
  </si>
  <si>
    <t>FUMA - Group (Continuing Operations)</t>
  </si>
  <si>
    <t>1Q20</t>
  </si>
  <si>
    <t>2Q20</t>
  </si>
  <si>
    <t>3Q20</t>
  </si>
  <si>
    <t>4Q20</t>
  </si>
  <si>
    <t>1Q21</t>
  </si>
  <si>
    <t>2Q21</t>
  </si>
  <si>
    <t>3Q21</t>
  </si>
  <si>
    <t>4Q21</t>
  </si>
  <si>
    <t>1Q22</t>
  </si>
  <si>
    <t>2Q22</t>
  </si>
  <si>
    <t>3Q22</t>
  </si>
  <si>
    <t>4Q22</t>
  </si>
  <si>
    <t>1Q23</t>
  </si>
  <si>
    <t>2Q23</t>
  </si>
  <si>
    <t>Opening Balance</t>
  </si>
  <si>
    <t>Acquired FUMA</t>
  </si>
  <si>
    <t>Net Flow ex-JANA</t>
  </si>
  <si>
    <t>JANA Net Flow</t>
  </si>
  <si>
    <t>Pensions</t>
  </si>
  <si>
    <t>Market/Other</t>
  </si>
  <si>
    <t>Reclass to discontinued operations</t>
  </si>
  <si>
    <t>Early Release of Super</t>
  </si>
  <si>
    <t>Closing Balance</t>
  </si>
  <si>
    <t>FUMA - Platforms</t>
  </si>
  <si>
    <t>Net Flow</t>
  </si>
  <si>
    <t>FUMA - Asset Management</t>
  </si>
  <si>
    <t>FUMA - JANA Multi-Asset</t>
  </si>
  <si>
    <t>During 2Q23, JANA transitioned the Responsible Entity for its implemented consulting clients away from Insignia Financial to an alternative provider.
Totals subject to rounding</t>
  </si>
  <si>
    <t>Transitioned FUMA</t>
  </si>
  <si>
    <t>FUMA - Discontinued Operations - Australian Executor Trustees (AET)</t>
  </si>
  <si>
    <t>Divested FUMA</t>
  </si>
  <si>
    <t>FUMA - Discontinued Operations - IOOF NZ</t>
  </si>
  <si>
    <t>Remediation - Advice</t>
  </si>
  <si>
    <r>
      <t>Adjustment</t>
    </r>
    <r>
      <rPr>
        <vertAlign val="superscript"/>
        <sz val="10"/>
        <color theme="1"/>
        <rFont val="Arial"/>
        <family val="2"/>
      </rPr>
      <t>1</t>
    </r>
  </si>
  <si>
    <t>Provisions made/(reversed)</t>
  </si>
  <si>
    <t>Provisions utilised</t>
  </si>
  <si>
    <t>Payments made</t>
  </si>
  <si>
    <t>Program costs</t>
  </si>
  <si>
    <r>
      <rPr>
        <vertAlign val="superscript"/>
        <sz val="8"/>
        <color theme="1"/>
        <rFont val="Arial"/>
        <family val="2"/>
      </rPr>
      <t>1</t>
    </r>
    <r>
      <rPr>
        <sz val="8"/>
        <color theme="1"/>
        <rFont val="Arial"/>
        <family val="2"/>
      </rPr>
      <t>Adjusted to remove balances not related to structured historical advice remediation programs</t>
    </r>
  </si>
  <si>
    <t>Remediation - Product</t>
  </si>
  <si>
    <t>Provisions acquired</t>
  </si>
  <si>
    <t>Statutory NPAT reconciliation</t>
  </si>
  <si>
    <t>NPAT from discontinued operations</t>
  </si>
  <si>
    <t>NPAT from continuing operations</t>
  </si>
  <si>
    <t>Underlying net profit after tax pre-amortisation (UNPAT) adjustments:</t>
  </si>
  <si>
    <t>Amortisation of intangible assets</t>
  </si>
  <si>
    <t>Unwind of deferred tax liability recorded on intangible assets</t>
  </si>
  <si>
    <t>Transformation and integration costs</t>
  </si>
  <si>
    <t>BT settlement income</t>
  </si>
  <si>
    <t>Legal expenses</t>
  </si>
  <si>
    <t>Evolve21 costs</t>
  </si>
  <si>
    <t>Evolve23 costs</t>
  </si>
  <si>
    <t>Termination payments</t>
  </si>
  <si>
    <t>Non-recurring professional fees paid</t>
  </si>
  <si>
    <t>Impairment of goodwill and investment</t>
  </si>
  <si>
    <t>Remediation costs</t>
  </si>
  <si>
    <t>Governance uplift costs</t>
  </si>
  <si>
    <t>Unrealised gain/loss on revaluation of financial instruments</t>
  </si>
  <si>
    <t>Income tax attributable</t>
  </si>
  <si>
    <t>UNPAT from continuing operations</t>
  </si>
  <si>
    <t>UNPAT from discontinued operations</t>
  </si>
  <si>
    <t>Corporate Balance Sheet</t>
  </si>
  <si>
    <t>Historical period restatements in 1H22 and 2H22 relate to finalisation of purchase price accounting (PPA) adjustments for MLC acquisition, and finalisation of AET divestment impacts
Excludes balances relating to the statutory benefit funds
Totals subject to rounding</t>
  </si>
  <si>
    <t>Assets</t>
  </si>
  <si>
    <t>Cash</t>
  </si>
  <si>
    <t>Certificates of deposit</t>
  </si>
  <si>
    <t>Receivables</t>
  </si>
  <si>
    <t>Debt note</t>
  </si>
  <si>
    <t>Other financial assets</t>
  </si>
  <si>
    <t>Current tax assets</t>
  </si>
  <si>
    <t>Other assets</t>
  </si>
  <si>
    <t>Net defined benefit asset</t>
  </si>
  <si>
    <t>Associates</t>
  </si>
  <si>
    <t>Property and equipment</t>
  </si>
  <si>
    <t>Deferred tax assets</t>
  </si>
  <si>
    <t>Intangible assets</t>
  </si>
  <si>
    <t>Goodwill</t>
  </si>
  <si>
    <t>Assets classified as held for sale</t>
  </si>
  <si>
    <t>Total assets</t>
  </si>
  <si>
    <t>Liabilities</t>
  </si>
  <si>
    <t>Payables</t>
  </si>
  <si>
    <t>Other financial liabilities</t>
  </si>
  <si>
    <t>Lease liabilities</t>
  </si>
  <si>
    <t>Borrowings</t>
  </si>
  <si>
    <t>Provisions</t>
  </si>
  <si>
    <t>Deferred tax liabilities</t>
  </si>
  <si>
    <t>Liabilities directly associated with assets classified as held for sale</t>
  </si>
  <si>
    <t>Total liabilities</t>
  </si>
  <si>
    <t>Net assets</t>
  </si>
  <si>
    <t>Equity</t>
  </si>
  <si>
    <t>Share capital</t>
  </si>
  <si>
    <t>Reserves</t>
  </si>
  <si>
    <t>Accumulated losses</t>
  </si>
  <si>
    <t>Total equity attributable to equity holders of the Company</t>
  </si>
  <si>
    <t>Non-controlling interest</t>
  </si>
  <si>
    <t>Total equity</t>
  </si>
  <si>
    <t>Statement of Cash Flows</t>
  </si>
  <si>
    <t>Historical period restatements in 1H22 relate to an update to the presentation of these items in the financial statements
Excludes cash flows relating to the statutory benefit funds
Totals subject to rounding</t>
  </si>
  <si>
    <t>Cash flows from operating activities</t>
  </si>
  <si>
    <t>Receipts from customers</t>
  </si>
  <si>
    <t>Non-recurring BT settlement fee</t>
  </si>
  <si>
    <t>Payments to suppliers and employees</t>
  </si>
  <si>
    <t>Dividends from associates</t>
  </si>
  <si>
    <t>Net legal settlements</t>
  </si>
  <si>
    <t>Coupon interest received on debt note</t>
  </si>
  <si>
    <t>Income taxes paid</t>
  </si>
  <si>
    <t>Net cash flows from operating activities</t>
  </si>
  <si>
    <t>Cash flows from investing activities</t>
  </si>
  <si>
    <t>Interest received</t>
  </si>
  <si>
    <t>Proceeds from divestment of/(payments for) financial assets</t>
  </si>
  <si>
    <t>Redemption/(purchase) of debt note</t>
  </si>
  <si>
    <t>Net proceeds on divestment of subsidiaries</t>
  </si>
  <si>
    <t>Acquisition of subsidiary, net of cash acquired</t>
  </si>
  <si>
    <t>Net proceeds from/(payment for) financial instruments</t>
  </si>
  <si>
    <t>Net proceeds from/(payment for) swaps</t>
  </si>
  <si>
    <t>Payments for property and equipment</t>
  </si>
  <si>
    <t>Payments for intangible assets</t>
  </si>
  <si>
    <t>Repayment of loan principal (related parties)</t>
  </si>
  <si>
    <t>Net cash flows from investing activities</t>
  </si>
  <si>
    <t>Cash flows from financing activities</t>
  </si>
  <si>
    <t>Drawdown of borrowings</t>
  </si>
  <si>
    <t>Repayment of borrowings</t>
  </si>
  <si>
    <t>Proceeds from issue of shares</t>
  </si>
  <si>
    <t>Transaction costs of issuing new shares</t>
  </si>
  <si>
    <t>Repayment of lease liabilities</t>
  </si>
  <si>
    <t>Interest and other costs of finance paid</t>
  </si>
  <si>
    <t>Dividends paid - members of the Company</t>
  </si>
  <si>
    <t>Dividends paid - non-controlling members of subsidiary entities</t>
  </si>
  <si>
    <t>Payments for treasury shares</t>
  </si>
  <si>
    <t>Net cash flows from financing activities</t>
  </si>
  <si>
    <t>Net cash flow</t>
  </si>
  <si>
    <t>Opening cash position</t>
  </si>
  <si>
    <t>Cash classified in assets held for sale at the beginning of the period</t>
  </si>
  <si>
    <t>Effects of exchange rate changes on cash and cash equivalents</t>
  </si>
  <si>
    <t>Reclassification to assets held for sale</t>
  </si>
  <si>
    <t>Closing cash position</t>
  </si>
  <si>
    <t>Cash and Debt Facilities</t>
  </si>
  <si>
    <t>Excludes balances relating to the statutory benefit funds
Totals subject to rounding</t>
  </si>
  <si>
    <t>Cash and cash equivalents</t>
  </si>
  <si>
    <t>Corporate cash ($m)</t>
  </si>
  <si>
    <t>Restricted cash (ORFR) ($m)</t>
  </si>
  <si>
    <t>Certificates of deposit ($m)</t>
  </si>
  <si>
    <t>Debt Facilities</t>
  </si>
  <si>
    <r>
      <t>Total debt facilities ($m)</t>
    </r>
    <r>
      <rPr>
        <vertAlign val="superscript"/>
        <sz val="10"/>
        <color theme="1"/>
        <rFont val="Arial"/>
        <family val="2"/>
      </rPr>
      <t>1</t>
    </r>
  </si>
  <si>
    <t>Drawn senior debt ($m)</t>
  </si>
  <si>
    <t>Senior funding headroom ($m)</t>
  </si>
  <si>
    <t>Ratios and other indicators</t>
  </si>
  <si>
    <t>Senior net debt ($m)</t>
  </si>
  <si>
    <t>SFA defined senior leverage ratio</t>
  </si>
  <si>
    <t>0.0 times</t>
  </si>
  <si>
    <t>1.3 times</t>
  </si>
  <si>
    <t>0.6 times</t>
  </si>
  <si>
    <t>1.0 times</t>
  </si>
  <si>
    <t>1.1 times</t>
  </si>
  <si>
    <t>1.2 times</t>
  </si>
  <si>
    <t>Bridge to SFA defined net debt</t>
  </si>
  <si>
    <t>Simple senior net debt (above)</t>
  </si>
  <si>
    <r>
      <rPr>
        <i/>
        <sz val="10"/>
        <color theme="1"/>
        <rFont val="Arial"/>
        <family val="2"/>
      </rPr>
      <t>Excl</t>
    </r>
    <r>
      <rPr>
        <sz val="10"/>
        <color theme="1"/>
        <rFont val="Arial"/>
        <family val="2"/>
      </rPr>
      <t xml:space="preserve"> non-guarantor cash</t>
    </r>
  </si>
  <si>
    <r>
      <rPr>
        <i/>
        <sz val="10"/>
        <color theme="1"/>
        <rFont val="Arial"/>
        <family val="2"/>
      </rPr>
      <t>Add</t>
    </r>
    <r>
      <rPr>
        <sz val="10"/>
        <color theme="1"/>
        <rFont val="Arial"/>
        <family val="2"/>
      </rPr>
      <t xml:space="preserve"> bank guarantees</t>
    </r>
  </si>
  <si>
    <r>
      <rPr>
        <i/>
        <sz val="10"/>
        <color theme="1"/>
        <rFont val="Arial"/>
        <family val="2"/>
      </rPr>
      <t>Add</t>
    </r>
    <r>
      <rPr>
        <sz val="10"/>
        <color theme="1"/>
        <rFont val="Arial"/>
        <family val="2"/>
      </rPr>
      <t xml:space="preserve"> deferred asset purchase consideration greater than 90 days</t>
    </r>
  </si>
  <si>
    <t>Other SFA adjustments</t>
  </si>
  <si>
    <t>SFA defined senior net debt</t>
  </si>
  <si>
    <t>The existing syndicated finance agreement was refinanced with a new $955m syndicated facility effective 16 August 2022. The terms of the new facility are reflected in the metrics and calculations in 1H23.</t>
  </si>
  <si>
    <r>
      <rPr>
        <vertAlign val="superscript"/>
        <sz val="8"/>
        <color theme="1"/>
        <rFont val="Arial"/>
        <family val="2"/>
      </rPr>
      <t>1</t>
    </r>
    <r>
      <rPr>
        <sz val="8"/>
        <color theme="1"/>
        <rFont val="Arial"/>
        <family val="2"/>
      </rPr>
      <t>Revolving cash advance and term loan facilities only, excludes multi-option facility</t>
    </r>
  </si>
  <si>
    <t>Segment Asset Allocations</t>
  </si>
  <si>
    <t>Platforms</t>
  </si>
  <si>
    <t>Australian Equities</t>
  </si>
  <si>
    <t>International Equities</t>
  </si>
  <si>
    <t>Fixed Interest</t>
  </si>
  <si>
    <t>Property</t>
  </si>
  <si>
    <t>Asset Management</t>
  </si>
  <si>
    <t>Ratio Calculations</t>
  </si>
  <si>
    <t>Earnings</t>
  </si>
  <si>
    <t>Profit attributable to owners of the Company ($m)</t>
  </si>
  <si>
    <t>Profit attributable to owners of the Company (Continuing Operations) ($m)</t>
  </si>
  <si>
    <t>Shares</t>
  </si>
  <si>
    <t>Weighted average shares on issue</t>
  </si>
  <si>
    <t>Weighted average treasury shares on issue</t>
  </si>
  <si>
    <t>Weighted average performance rights</t>
  </si>
  <si>
    <t>Margins</t>
  </si>
  <si>
    <t>Add back amortisation of deferred acquisition costs ($m)</t>
  </si>
  <si>
    <t>ANZ coupon interest ($m)</t>
  </si>
  <si>
    <t>Operating expenditure ($m)</t>
  </si>
  <si>
    <t>Average equity ($m)</t>
  </si>
  <si>
    <t>Days in period</t>
  </si>
  <si>
    <t>Days in year</t>
  </si>
  <si>
    <t>Shares on issue</t>
  </si>
  <si>
    <t>From</t>
  </si>
  <si>
    <t>To</t>
  </si>
  <si>
    <t>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</si>
</sst>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0.0;\(#,##0.0\);\-\ \ "/>
    <numFmt numFmtId="165" formatCode="#,##0.0%_);\(#,##0.0%\);\-\%_)"/>
    <numFmt numFmtId="166" formatCode="_-* #,##0.0_-;\-* #,##0.0_-;_-* &quot;-&quot;??_-;_-@_-"/>
    <numFmt numFmtId="167" formatCode="#,##0.0000"/>
    <numFmt numFmtId="168" formatCode="&quot;$&quot;#,##0.00;\(&quot;$&quot;#,##0.00\);\-\ \ "/>
    <numFmt numFmtId="169" formatCode="#,##0&quot;bps&quot;;\(#,##0&quot;bps&quot;\);\-\ \ "/>
    <numFmt numFmtId="170" formatCode="0.0%"/>
    <numFmt numFmtId="171" formatCode="#,##0&quot;bps&quot;;\(&quot;$&quot;#,##0&quot;bps&quot;\);\-\ \ "/>
    <numFmt numFmtId="172" formatCode="#,##0.000;\(#,##0.000\);\-\ \ "/>
    <numFmt numFmtId="173" formatCode="#,##0;\(#,##0\);\-\ \ "/>
    <numFmt numFmtId="174" formatCode="0.0"/>
    <numFmt numFmtId="175" formatCode="#,##0.0"/>
    <numFmt numFmtId="176" formatCode="#,##0.000"/>
    <numFmt numFmtId="177" formatCode="_-* #,##0_-;\-* #,##0_-;_-* &quot;-&quot;??_-;_-@_-"/>
    <numFmt numFmtId="178" formatCode="0.000%"/>
  </numFmts>
  <fonts count="17" x14ac:knownFonts="1">
    <font>
      <sz val="11"/>
      <color theme="1"/>
      <name val="Calibri"/>
      <family val="2"/>
      <scheme val="minor"/>
    </font>
    <font>
      <sz val="11"/>
      <color theme="1"/>
      <name val="Calibri"/>
      <family val="2"/>
      <scheme val="minor"/>
    </font>
    <font>
      <b/>
      <sz val="22"/>
      <color theme="0"/>
      <name val="Arial"/>
      <family val="2"/>
    </font>
    <font>
      <sz val="11"/>
      <color theme="1"/>
      <name val="Arial"/>
      <family val="2"/>
    </font>
    <font>
      <b/>
      <sz val="14"/>
      <color theme="0"/>
      <name val="Arial"/>
      <family val="2"/>
    </font>
    <font>
      <sz val="10"/>
      <color theme="1"/>
      <name val="Arial"/>
      <family val="2"/>
    </font>
    <font>
      <b/>
      <sz val="10"/>
      <color theme="1"/>
      <name val="Arial"/>
      <family val="2"/>
    </font>
    <font>
      <sz val="11"/>
      <color rgb="FFFF0000"/>
      <name val="Arial"/>
      <family val="2"/>
    </font>
    <font>
      <sz val="8"/>
      <name val="Arial"/>
      <family val="2"/>
    </font>
    <font>
      <sz val="10"/>
      <color rgb="FFFF0000"/>
      <name val="Arial"/>
      <family val="2"/>
    </font>
    <font>
      <sz val="10"/>
      <name val="Arial"/>
      <family val="2"/>
    </font>
    <font>
      <b/>
      <sz val="10"/>
      <name val="Arial"/>
      <family val="2"/>
    </font>
    <font>
      <b/>
      <sz val="11"/>
      <color theme="1"/>
      <name val="Arial"/>
      <family val="2"/>
    </font>
    <font>
      <sz val="8"/>
      <color theme="1"/>
      <name val="Arial"/>
      <family val="2"/>
    </font>
    <font>
      <i/>
      <sz val="10"/>
      <color theme="1"/>
      <name val="Arial"/>
      <family val="2"/>
    </font>
    <font>
      <vertAlign val="superscript"/>
      <sz val="10"/>
      <color theme="1"/>
      <name val="Arial"/>
      <family val="2"/>
    </font>
    <font>
      <vertAlign val="superscript"/>
      <sz val="8"/>
      <color theme="1"/>
      <name val="Arial"/>
      <family val="2"/>
    </font>
  </fonts>
  <fills count="5">
    <fill>
      <patternFill patternType="none"/>
    </fill>
    <fill>
      <patternFill patternType="gray125"/>
    </fill>
    <fill>
      <patternFill patternType="solid">
        <fgColor rgb="FF05724D"/>
        <bgColor indexed="64"/>
      </patternFill>
    </fill>
    <fill>
      <patternFill patternType="solid">
        <fgColor rgb="FF36454F"/>
        <bgColor indexed="64"/>
      </patternFill>
    </fill>
    <fill>
      <patternFill patternType="solid">
        <fgColor theme="0"/>
        <bgColor indexed="64"/>
      </patternFill>
    </fill>
  </fills>
  <borders count="7">
    <border>
      <left/>
      <right/>
      <top/>
      <bottom/>
      <diagonal/>
    </border>
    <border>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91">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4" fillId="3" borderId="0" xfId="0" applyFont="1" applyFill="1" applyAlignment="1">
      <alignment vertical="center"/>
    </xf>
    <xf numFmtId="0" fontId="3" fillId="3" borderId="0" xfId="0" applyFont="1" applyFill="1" applyAlignment="1">
      <alignment vertical="center"/>
    </xf>
    <xf numFmtId="0" fontId="5" fillId="0" borderId="0" xfId="0" applyFont="1"/>
    <xf numFmtId="0" fontId="6" fillId="0" borderId="0" xfId="0" applyFont="1" applyAlignment="1">
      <alignment vertical="top" wrapText="1"/>
    </xf>
    <xf numFmtId="0" fontId="5" fillId="0" borderId="0" xfId="0" applyFont="1" applyAlignment="1">
      <alignment vertical="center"/>
    </xf>
    <xf numFmtId="0" fontId="7" fillId="0" borderId="0" xfId="0" applyFont="1" applyAlignment="1">
      <alignment horizontal="left" vertical="center"/>
    </xf>
    <xf numFmtId="0" fontId="3" fillId="0" borderId="0" xfId="0" applyFont="1"/>
    <xf numFmtId="0" fontId="6" fillId="0" borderId="1"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indent="2"/>
    </xf>
    <xf numFmtId="164" fontId="5" fillId="0" borderId="0" xfId="1" applyNumberFormat="1" applyFont="1" applyFill="1" applyBorder="1" applyAlignment="1">
      <alignment horizontal="right" vertical="center"/>
    </xf>
    <xf numFmtId="164" fontId="5" fillId="0" borderId="0" xfId="1" applyNumberFormat="1" applyFont="1" applyBorder="1" applyAlignment="1">
      <alignment horizontal="right" vertical="center"/>
    </xf>
    <xf numFmtId="0" fontId="5" fillId="0" borderId="0" xfId="0" applyFont="1" applyAlignment="1">
      <alignment horizontal="right" vertical="center"/>
    </xf>
    <xf numFmtId="164" fontId="5" fillId="0" borderId="0" xfId="0" applyNumberFormat="1" applyFont="1" applyAlignment="1">
      <alignment horizontal="right" vertical="center"/>
    </xf>
    <xf numFmtId="165" fontId="5" fillId="0" borderId="0" xfId="3" applyNumberFormat="1" applyFont="1" applyAlignment="1">
      <alignment horizontal="right" vertical="center"/>
    </xf>
    <xf numFmtId="164" fontId="5" fillId="0" borderId="0" xfId="1" applyNumberFormat="1" applyFont="1" applyAlignment="1">
      <alignment horizontal="right" vertical="center"/>
    </xf>
    <xf numFmtId="164" fontId="5" fillId="0" borderId="0" xfId="1" applyNumberFormat="1" applyFont="1" applyFill="1" applyAlignment="1">
      <alignment horizontal="right" vertical="center"/>
    </xf>
    <xf numFmtId="166" fontId="5" fillId="0" borderId="0" xfId="1" applyNumberFormat="1" applyFont="1" applyAlignment="1">
      <alignment horizontal="right" vertical="center"/>
    </xf>
    <xf numFmtId="166" fontId="5" fillId="0" borderId="0" xfId="1" applyNumberFormat="1" applyFont="1" applyFill="1" applyAlignment="1">
      <alignment horizontal="right" vertical="center"/>
    </xf>
    <xf numFmtId="167" fontId="5" fillId="4" borderId="0" xfId="0" applyNumberFormat="1" applyFont="1" applyFill="1" applyAlignment="1">
      <alignment vertical="center"/>
    </xf>
    <xf numFmtId="0" fontId="9" fillId="0" borderId="0" xfId="0" applyFont="1" applyAlignment="1">
      <alignment vertical="center"/>
    </xf>
    <xf numFmtId="165" fontId="5" fillId="0" borderId="0" xfId="3" applyNumberFormat="1" applyFont="1" applyFill="1" applyAlignment="1">
      <alignment horizontal="right" vertical="center"/>
    </xf>
    <xf numFmtId="168" fontId="5" fillId="0" borderId="0" xfId="4" applyNumberFormat="1" applyFont="1" applyAlignment="1">
      <alignment horizontal="right" vertical="center"/>
    </xf>
    <xf numFmtId="168" fontId="5" fillId="0" borderId="0" xfId="1" applyNumberFormat="1" applyFont="1" applyAlignment="1">
      <alignment horizontal="right" vertical="center"/>
    </xf>
    <xf numFmtId="168" fontId="5" fillId="0" borderId="0" xfId="1" applyNumberFormat="1" applyFont="1" applyFill="1" applyAlignment="1">
      <alignment horizontal="right" vertical="center"/>
    </xf>
    <xf numFmtId="168" fontId="5" fillId="0" borderId="0" xfId="0" applyNumberFormat="1" applyFont="1" applyAlignment="1">
      <alignment horizontal="right" vertical="center"/>
    </xf>
    <xf numFmtId="168" fontId="5" fillId="4" borderId="0" xfId="1" applyNumberFormat="1" applyFont="1" applyFill="1" applyAlignment="1">
      <alignment horizontal="right" vertical="center"/>
    </xf>
    <xf numFmtId="168" fontId="5" fillId="0" borderId="0" xfId="2" applyNumberFormat="1" applyFont="1" applyAlignment="1">
      <alignment horizontal="right" vertical="center"/>
    </xf>
    <xf numFmtId="169" fontId="5" fillId="0" borderId="0" xfId="3" applyNumberFormat="1" applyFont="1" applyFill="1" applyAlignment="1">
      <alignment vertical="center"/>
    </xf>
    <xf numFmtId="0" fontId="5" fillId="0" borderId="0" xfId="0" applyFont="1" applyAlignment="1">
      <alignment horizontal="left" vertical="center"/>
    </xf>
    <xf numFmtId="0" fontId="5" fillId="3" borderId="0" xfId="0" applyFont="1" applyFill="1" applyAlignment="1">
      <alignment vertical="center"/>
    </xf>
    <xf numFmtId="167" fontId="5" fillId="4" borderId="0" xfId="0" applyNumberFormat="1" applyFont="1" applyFill="1"/>
    <xf numFmtId="164" fontId="5" fillId="0" borderId="0" xfId="0" applyNumberFormat="1" applyFont="1" applyAlignment="1">
      <alignment vertical="center"/>
    </xf>
    <xf numFmtId="164" fontId="10" fillId="0" borderId="0" xfId="0" applyNumberFormat="1" applyFont="1" applyAlignment="1">
      <alignment vertical="center"/>
    </xf>
    <xf numFmtId="0" fontId="10" fillId="0" borderId="0" xfId="0" applyFont="1" applyAlignment="1">
      <alignment vertical="center"/>
    </xf>
    <xf numFmtId="165" fontId="10" fillId="0" borderId="0" xfId="3" applyNumberFormat="1" applyFont="1" applyFill="1" applyAlignment="1">
      <alignment horizontal="right" vertical="center"/>
    </xf>
    <xf numFmtId="164" fontId="5" fillId="0" borderId="2" xfId="0" applyNumberFormat="1" applyFont="1" applyBorder="1" applyAlignment="1">
      <alignment vertical="center"/>
    </xf>
    <xf numFmtId="164" fontId="10" fillId="0" borderId="2" xfId="0" applyNumberFormat="1" applyFont="1" applyBorder="1" applyAlignment="1">
      <alignment vertical="center"/>
    </xf>
    <xf numFmtId="165" fontId="10" fillId="0" borderId="2" xfId="0" applyNumberFormat="1" applyFont="1" applyBorder="1" applyAlignment="1">
      <alignment horizontal="right" vertical="center"/>
    </xf>
    <xf numFmtId="164" fontId="6"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xf>
    <xf numFmtId="165" fontId="11" fillId="0" borderId="0" xfId="0" applyNumberFormat="1" applyFont="1" applyAlignment="1">
      <alignment horizontal="right" vertical="center"/>
    </xf>
    <xf numFmtId="165" fontId="10" fillId="0" borderId="0" xfId="0" applyNumberFormat="1" applyFont="1" applyAlignment="1">
      <alignment vertical="center"/>
    </xf>
    <xf numFmtId="164" fontId="6" fillId="0" borderId="3" xfId="0" applyNumberFormat="1" applyFont="1" applyBorder="1" applyAlignment="1">
      <alignment vertical="center"/>
    </xf>
    <xf numFmtId="164" fontId="11" fillId="0" borderId="3" xfId="0" applyNumberFormat="1" applyFont="1" applyBorder="1" applyAlignment="1">
      <alignment vertical="center"/>
    </xf>
    <xf numFmtId="165" fontId="11" fillId="0" borderId="3" xfId="0" applyNumberFormat="1" applyFont="1" applyBorder="1" applyAlignment="1">
      <alignment vertical="center"/>
    </xf>
    <xf numFmtId="164" fontId="5" fillId="0" borderId="0" xfId="0" applyNumberFormat="1" applyFont="1"/>
    <xf numFmtId="165" fontId="10" fillId="0" borderId="0" xfId="3" applyNumberFormat="1" applyFont="1" applyFill="1" applyBorder="1" applyAlignment="1">
      <alignment horizontal="right" vertical="center"/>
    </xf>
    <xf numFmtId="0" fontId="5" fillId="0" borderId="0" xfId="0" applyFont="1" applyAlignment="1">
      <alignment horizontal="left" vertical="center" wrapText="1" indent="2"/>
    </xf>
    <xf numFmtId="165" fontId="10" fillId="0" borderId="2" xfId="3" applyNumberFormat="1" applyFont="1" applyFill="1" applyBorder="1" applyAlignment="1">
      <alignment horizontal="right" vertical="center"/>
    </xf>
    <xf numFmtId="165" fontId="11" fillId="0" borderId="0" xfId="3" applyNumberFormat="1" applyFont="1" applyFill="1" applyAlignment="1">
      <alignment horizontal="right" vertical="center"/>
    </xf>
    <xf numFmtId="165" fontId="6" fillId="0" borderId="0" xfId="3" applyNumberFormat="1" applyFont="1" applyAlignment="1">
      <alignment horizontal="right" vertical="center"/>
    </xf>
    <xf numFmtId="165" fontId="6" fillId="0" borderId="0" xfId="3" applyNumberFormat="1" applyFont="1" applyFill="1" applyAlignment="1">
      <alignment horizontal="right" vertical="center"/>
    </xf>
    <xf numFmtId="165" fontId="5" fillId="0" borderId="2" xfId="3" applyNumberFormat="1" applyFont="1" applyFill="1" applyBorder="1" applyAlignment="1">
      <alignment horizontal="right" vertical="center"/>
    </xf>
    <xf numFmtId="165" fontId="5" fillId="0" borderId="0" xfId="3" applyNumberFormat="1" applyFont="1" applyFill="1" applyBorder="1" applyAlignment="1">
      <alignment horizontal="right" vertical="center"/>
    </xf>
    <xf numFmtId="164" fontId="6" fillId="0" borderId="2" xfId="0" applyNumberFormat="1" applyFont="1" applyBorder="1" applyAlignment="1">
      <alignment vertical="center"/>
    </xf>
    <xf numFmtId="165" fontId="6" fillId="0" borderId="2" xfId="3" applyNumberFormat="1" applyFont="1" applyBorder="1" applyAlignment="1">
      <alignment horizontal="right" vertical="center"/>
    </xf>
    <xf numFmtId="164" fontId="6" fillId="0" borderId="4" xfId="0" applyNumberFormat="1" applyFont="1" applyBorder="1" applyAlignment="1">
      <alignment vertical="center"/>
    </xf>
    <xf numFmtId="165" fontId="6" fillId="0" borderId="4" xfId="3" applyNumberFormat="1" applyFont="1" applyBorder="1" applyAlignment="1">
      <alignment horizontal="right" vertical="center"/>
    </xf>
    <xf numFmtId="165" fontId="6" fillId="0" borderId="3" xfId="3" applyNumberFormat="1" applyFont="1" applyFill="1" applyBorder="1" applyAlignment="1">
      <alignment horizontal="right" vertical="center"/>
    </xf>
    <xf numFmtId="43" fontId="3" fillId="0" borderId="0" xfId="1" applyFont="1" applyFill="1"/>
    <xf numFmtId="0" fontId="12" fillId="0" borderId="0" xfId="0" applyFont="1" applyAlignment="1">
      <alignment horizontal="center" vertical="center"/>
    </xf>
    <xf numFmtId="0" fontId="4" fillId="3" borderId="0" xfId="0" applyFont="1" applyFill="1"/>
    <xf numFmtId="0" fontId="3" fillId="3" borderId="0" xfId="0" applyFont="1" applyFill="1"/>
    <xf numFmtId="0" fontId="12" fillId="0" borderId="0" xfId="0" applyFont="1" applyAlignment="1">
      <alignment horizontal="center"/>
    </xf>
    <xf numFmtId="0" fontId="13" fillId="0" borderId="0" xfId="0" applyFont="1" applyAlignment="1">
      <alignment vertical="center" wrapText="1"/>
    </xf>
    <xf numFmtId="165" fontId="5" fillId="0" borderId="0" xfId="0" applyNumberFormat="1" applyFont="1" applyAlignment="1">
      <alignment horizontal="right" vertical="center"/>
    </xf>
    <xf numFmtId="170" fontId="5" fillId="0" borderId="0" xfId="3" applyNumberFormat="1" applyFont="1" applyFill="1" applyAlignment="1">
      <alignment vertical="center"/>
    </xf>
    <xf numFmtId="164" fontId="6" fillId="0" borderId="0" xfId="0" applyNumberFormat="1" applyFont="1" applyAlignment="1">
      <alignment horizontal="center" vertical="center"/>
    </xf>
    <xf numFmtId="165" fontId="5" fillId="0" borderId="0" xfId="0" applyNumberFormat="1" applyFont="1" applyAlignment="1">
      <alignment vertical="center"/>
    </xf>
    <xf numFmtId="165" fontId="5" fillId="0" borderId="2" xfId="0" applyNumberFormat="1" applyFont="1" applyBorder="1" applyAlignment="1">
      <alignment horizontal="right" vertical="center"/>
    </xf>
    <xf numFmtId="164" fontId="6" fillId="0" borderId="0" xfId="0" applyNumberFormat="1" applyFont="1" applyAlignment="1">
      <alignment horizontal="right" vertical="center"/>
    </xf>
    <xf numFmtId="165" fontId="6" fillId="0" borderId="0" xfId="0" applyNumberFormat="1" applyFont="1" applyAlignment="1">
      <alignment horizontal="right" vertical="center"/>
    </xf>
    <xf numFmtId="164" fontId="6" fillId="0" borderId="4" xfId="0" applyNumberFormat="1" applyFont="1" applyBorder="1" applyAlignment="1">
      <alignment horizontal="right" vertical="center"/>
    </xf>
    <xf numFmtId="165" fontId="6" fillId="0" borderId="4" xfId="0" applyNumberFormat="1" applyFont="1" applyBorder="1" applyAlignment="1">
      <alignment horizontal="right" vertical="center"/>
    </xf>
    <xf numFmtId="164" fontId="3" fillId="0" borderId="0" xfId="0" applyNumberFormat="1" applyFont="1"/>
    <xf numFmtId="171" fontId="5" fillId="0" borderId="0" xfId="3" applyNumberFormat="1" applyFont="1" applyFill="1" applyAlignment="1">
      <alignment vertical="center"/>
    </xf>
    <xf numFmtId="0" fontId="9" fillId="0" borderId="0" xfId="0" applyFont="1"/>
    <xf numFmtId="0" fontId="6" fillId="0" borderId="0" xfId="0" applyFont="1"/>
    <xf numFmtId="164" fontId="6" fillId="0" borderId="0" xfId="0" applyNumberFormat="1" applyFont="1"/>
    <xf numFmtId="164" fontId="6" fillId="0" borderId="0" xfId="0" applyNumberFormat="1" applyFont="1" applyAlignment="1">
      <alignment horizontal="right"/>
    </xf>
    <xf numFmtId="165" fontId="6" fillId="0" borderId="0" xfId="0" applyNumberFormat="1" applyFont="1" applyAlignment="1">
      <alignment horizontal="right"/>
    </xf>
    <xf numFmtId="166" fontId="3" fillId="0" borderId="0" xfId="1" applyNumberFormat="1" applyFont="1" applyFill="1"/>
    <xf numFmtId="166" fontId="3" fillId="0" borderId="0" xfId="1" applyNumberFormat="1" applyFont="1"/>
    <xf numFmtId="43" fontId="0" fillId="0" borderId="0" xfId="1" applyFont="1"/>
    <xf numFmtId="165" fontId="5" fillId="0" borderId="0" xfId="3" applyNumberFormat="1" applyFont="1" applyBorder="1" applyAlignment="1">
      <alignment horizontal="right" vertical="center"/>
    </xf>
    <xf numFmtId="165" fontId="5" fillId="0" borderId="2" xfId="3" applyNumberFormat="1" applyFont="1" applyBorder="1" applyAlignment="1">
      <alignment horizontal="right" vertical="center"/>
    </xf>
    <xf numFmtId="172" fontId="0" fillId="0" borderId="0" xfId="0" applyNumberFormat="1"/>
    <xf numFmtId="0" fontId="3" fillId="4" borderId="0" xfId="0" applyFont="1" applyFill="1"/>
    <xf numFmtId="172" fontId="3" fillId="0" borderId="0" xfId="0" applyNumberFormat="1" applyFont="1"/>
    <xf numFmtId="172" fontId="7" fillId="0" borderId="0" xfId="0" applyNumberFormat="1" applyFont="1"/>
    <xf numFmtId="164" fontId="5" fillId="0" borderId="2" xfId="0" applyNumberFormat="1" applyFont="1" applyBorder="1" applyAlignment="1">
      <alignment horizontal="right" vertical="center"/>
    </xf>
    <xf numFmtId="1" fontId="3" fillId="0" borderId="0" xfId="0" applyNumberFormat="1" applyFont="1"/>
    <xf numFmtId="2" fontId="3" fillId="0" borderId="0" xfId="0" applyNumberFormat="1" applyFont="1"/>
    <xf numFmtId="173" fontId="5" fillId="0" borderId="0" xfId="0" applyNumberFormat="1" applyFont="1" applyAlignment="1">
      <alignment vertical="center"/>
    </xf>
    <xf numFmtId="173" fontId="6" fillId="0" borderId="3" xfId="0" applyNumberFormat="1" applyFont="1" applyBorder="1" applyAlignment="1">
      <alignment vertical="center"/>
    </xf>
    <xf numFmtId="173" fontId="5" fillId="0" borderId="0" xfId="1" applyNumberFormat="1" applyFont="1" applyFill="1" applyAlignment="1">
      <alignment vertical="center"/>
    </xf>
    <xf numFmtId="173" fontId="6" fillId="0" borderId="3" xfId="1" applyNumberFormat="1" applyFont="1" applyBorder="1" applyAlignment="1">
      <alignment vertical="center"/>
    </xf>
    <xf numFmtId="173" fontId="6" fillId="0" borderId="3" xfId="1" applyNumberFormat="1" applyFont="1" applyFill="1" applyBorder="1" applyAlignment="1">
      <alignment vertical="center"/>
    </xf>
    <xf numFmtId="0" fontId="5" fillId="4" borderId="0" xfId="0" applyFont="1" applyFill="1" applyAlignment="1">
      <alignment vertical="center"/>
    </xf>
    <xf numFmtId="0" fontId="0" fillId="0" borderId="0" xfId="0" applyAlignment="1">
      <alignment vertical="center"/>
    </xf>
    <xf numFmtId="164" fontId="14" fillId="0" borderId="0" xfId="1" applyNumberFormat="1" applyFont="1" applyFill="1" applyAlignment="1">
      <alignment horizontal="right" vertical="center"/>
    </xf>
    <xf numFmtId="173" fontId="5" fillId="0" borderId="0" xfId="1" applyNumberFormat="1" applyFont="1" applyFill="1" applyBorder="1" applyAlignment="1">
      <alignment vertical="center"/>
    </xf>
    <xf numFmtId="173" fontId="6" fillId="0" borderId="0" xfId="1" applyNumberFormat="1" applyFont="1" applyFill="1" applyBorder="1" applyAlignment="1">
      <alignment vertical="center"/>
    </xf>
    <xf numFmtId="173" fontId="5" fillId="0" borderId="0" xfId="1" applyNumberFormat="1" applyFont="1" applyBorder="1" applyAlignment="1">
      <alignment vertical="center"/>
    </xf>
    <xf numFmtId="0" fontId="13" fillId="0" borderId="0" xfId="0" applyFont="1" applyAlignment="1">
      <alignment vertical="center"/>
    </xf>
    <xf numFmtId="0" fontId="6" fillId="0" borderId="0" xfId="0" applyFont="1" applyAlignment="1">
      <alignment horizontal="center"/>
    </xf>
    <xf numFmtId="0" fontId="0" fillId="4" borderId="0" xfId="0" applyFill="1"/>
    <xf numFmtId="0" fontId="6" fillId="0" borderId="1" xfId="0" applyFont="1" applyBorder="1" applyAlignment="1">
      <alignment horizontal="center"/>
    </xf>
    <xf numFmtId="173" fontId="5" fillId="0" borderId="0" xfId="1" applyNumberFormat="1" applyFont="1" applyAlignment="1">
      <alignment vertical="center"/>
    </xf>
    <xf numFmtId="173" fontId="5" fillId="0" borderId="0" xfId="1" applyNumberFormat="1" applyFont="1" applyBorder="1"/>
    <xf numFmtId="173" fontId="6" fillId="0" borderId="0" xfId="1" applyNumberFormat="1" applyFont="1" applyBorder="1"/>
    <xf numFmtId="173" fontId="6" fillId="0" borderId="0" xfId="1" applyNumberFormat="1" applyFont="1" applyBorder="1" applyAlignment="1">
      <alignment vertical="center"/>
    </xf>
    <xf numFmtId="173" fontId="6" fillId="4" borderId="0" xfId="1" applyNumberFormat="1" applyFont="1" applyFill="1" applyBorder="1" applyAlignment="1">
      <alignment vertical="center"/>
    </xf>
    <xf numFmtId="0" fontId="5" fillId="4" borderId="0" xfId="0" applyFont="1" applyFill="1"/>
    <xf numFmtId="164" fontId="9" fillId="0" borderId="0" xfId="0" applyNumberFormat="1" applyFont="1" applyAlignment="1">
      <alignment vertical="center"/>
    </xf>
    <xf numFmtId="0" fontId="6" fillId="0" borderId="0" xfId="0" applyFont="1" applyAlignment="1">
      <alignment vertical="center" wrapText="1"/>
    </xf>
    <xf numFmtId="164" fontId="6" fillId="0" borderId="5" xfId="0" applyNumberFormat="1" applyFont="1" applyBorder="1" applyAlignment="1">
      <alignment horizontal="right" vertical="center"/>
    </xf>
    <xf numFmtId="164" fontId="6" fillId="0" borderId="3" xfId="0" applyNumberFormat="1" applyFont="1" applyBorder="1" applyAlignment="1">
      <alignment horizontal="right" vertical="center"/>
    </xf>
    <xf numFmtId="0" fontId="6" fillId="0" borderId="0" xfId="0" applyFont="1" applyAlignment="1">
      <alignment horizontal="centerContinuous" vertical="center"/>
    </xf>
    <xf numFmtId="164" fontId="5" fillId="0" borderId="0" xfId="1" applyNumberFormat="1" applyFont="1" applyAlignment="1">
      <alignment vertical="center"/>
    </xf>
    <xf numFmtId="164" fontId="5" fillId="0" borderId="0" xfId="1" applyNumberFormat="1" applyFont="1" applyFill="1" applyAlignment="1">
      <alignment vertical="center"/>
    </xf>
    <xf numFmtId="174" fontId="5" fillId="0" borderId="0" xfId="0" applyNumberFormat="1" applyFont="1" applyAlignment="1">
      <alignment vertical="center"/>
    </xf>
    <xf numFmtId="174" fontId="5" fillId="0" borderId="0" xfId="1" applyNumberFormat="1" applyFont="1" applyFill="1" applyAlignment="1">
      <alignment vertical="center"/>
    </xf>
    <xf numFmtId="175" fontId="5" fillId="0" borderId="0" xfId="0" applyNumberFormat="1" applyFont="1" applyAlignment="1">
      <alignment vertical="center"/>
    </xf>
    <xf numFmtId="164" fontId="5" fillId="0" borderId="5" xfId="1" applyNumberFormat="1" applyFont="1" applyBorder="1" applyAlignment="1">
      <alignment vertical="center"/>
    </xf>
    <xf numFmtId="164" fontId="5" fillId="0" borderId="5" xfId="1" applyNumberFormat="1" applyFont="1" applyFill="1" applyBorder="1" applyAlignment="1">
      <alignment vertical="center"/>
    </xf>
    <xf numFmtId="164" fontId="6" fillId="0" borderId="3" xfId="1" applyNumberFormat="1" applyFont="1" applyBorder="1" applyAlignment="1">
      <alignment vertical="center"/>
    </xf>
    <xf numFmtId="164" fontId="6" fillId="0" borderId="3" xfId="1" applyNumberFormat="1" applyFont="1" applyFill="1" applyBorder="1" applyAlignment="1">
      <alignment vertical="center"/>
    </xf>
    <xf numFmtId="4" fontId="5" fillId="0" borderId="0" xfId="0" applyNumberFormat="1" applyFont="1" applyAlignment="1">
      <alignment vertical="center"/>
    </xf>
    <xf numFmtId="164" fontId="6" fillId="0" borderId="6" xfId="1" applyNumberFormat="1" applyFont="1" applyBorder="1" applyAlignment="1">
      <alignment vertical="center"/>
    </xf>
    <xf numFmtId="164" fontId="6" fillId="0" borderId="6" xfId="1" applyNumberFormat="1" applyFont="1" applyFill="1" applyBorder="1" applyAlignment="1">
      <alignment vertical="center"/>
    </xf>
    <xf numFmtId="164" fontId="6" fillId="0" borderId="5" xfId="1" applyNumberFormat="1" applyFont="1" applyFill="1" applyBorder="1" applyAlignment="1">
      <alignment vertical="center"/>
    </xf>
    <xf numFmtId="164" fontId="6" fillId="0" borderId="4" xfId="1" applyNumberFormat="1" applyFont="1" applyBorder="1" applyAlignment="1">
      <alignment vertical="center"/>
    </xf>
    <xf numFmtId="164" fontId="6" fillId="0" borderId="4" xfId="1" applyNumberFormat="1" applyFont="1" applyFill="1" applyBorder="1" applyAlignment="1">
      <alignment vertical="center"/>
    </xf>
    <xf numFmtId="175" fontId="5" fillId="0" borderId="0" xfId="0" applyNumberFormat="1" applyFont="1"/>
    <xf numFmtId="174" fontId="5" fillId="0" borderId="0" xfId="0" applyNumberFormat="1" applyFont="1"/>
    <xf numFmtId="176" fontId="5" fillId="0" borderId="0" xfId="0" applyNumberFormat="1" applyFont="1"/>
    <xf numFmtId="164" fontId="5" fillId="0" borderId="0" xfId="1" applyNumberFormat="1" applyFont="1" applyFill="1" applyBorder="1" applyAlignment="1">
      <alignment vertical="center"/>
    </xf>
    <xf numFmtId="164" fontId="6" fillId="0" borderId="0" xfId="1" applyNumberFormat="1" applyFont="1" applyFill="1" applyBorder="1" applyAlignment="1">
      <alignment vertical="center"/>
    </xf>
    <xf numFmtId="164" fontId="6" fillId="0" borderId="0" xfId="1" applyNumberFormat="1" applyFont="1" applyBorder="1" applyAlignment="1">
      <alignment vertical="center"/>
    </xf>
    <xf numFmtId="164" fontId="5" fillId="0" borderId="0" xfId="1" applyNumberFormat="1" applyFont="1" applyBorder="1" applyAlignment="1">
      <alignment vertical="center"/>
    </xf>
    <xf numFmtId="164" fontId="6" fillId="0" borderId="5" xfId="1" applyNumberFormat="1" applyFont="1" applyBorder="1" applyAlignment="1">
      <alignment vertical="center"/>
    </xf>
    <xf numFmtId="164" fontId="6" fillId="0" borderId="0" xfId="1" applyNumberFormat="1" applyFont="1" applyAlignment="1">
      <alignment vertical="center"/>
    </xf>
    <xf numFmtId="164" fontId="6" fillId="0" borderId="0" xfId="1" applyNumberFormat="1" applyFont="1" applyFill="1" applyAlignment="1">
      <alignment vertical="center"/>
    </xf>
    <xf numFmtId="164" fontId="6" fillId="0" borderId="0" xfId="1" applyNumberFormat="1" applyFont="1" applyFill="1" applyBorder="1"/>
    <xf numFmtId="0" fontId="8" fillId="0" borderId="0" xfId="0" applyFont="1" applyAlignment="1">
      <alignment vertical="center" wrapText="1"/>
    </xf>
    <xf numFmtId="0" fontId="11" fillId="0" borderId="0" xfId="0" applyFont="1" applyAlignment="1">
      <alignment horizontal="centerContinuous" vertical="center"/>
    </xf>
    <xf numFmtId="164" fontId="5" fillId="0" borderId="0" xfId="1" applyNumberFormat="1" applyFont="1" applyFill="1" applyAlignment="1">
      <alignment horizontal="center" vertical="center"/>
    </xf>
    <xf numFmtId="164" fontId="5" fillId="0" borderId="2" xfId="1" applyNumberFormat="1" applyFont="1" applyFill="1" applyBorder="1" applyAlignment="1">
      <alignment vertical="center"/>
    </xf>
    <xf numFmtId="164" fontId="6" fillId="0" borderId="0" xfId="1" applyNumberFormat="1" applyFont="1" applyFill="1" applyAlignment="1">
      <alignment horizontal="right" vertical="center"/>
    </xf>
    <xf numFmtId="0" fontId="5" fillId="0" borderId="0" xfId="0" applyFont="1" applyAlignment="1">
      <alignment horizontal="left" indent="2"/>
    </xf>
    <xf numFmtId="0" fontId="9" fillId="0" borderId="0" xfId="0" applyFont="1" applyAlignment="1">
      <alignment horizontal="left" indent="2"/>
    </xf>
    <xf numFmtId="9" fontId="5" fillId="0" borderId="0" xfId="0" applyNumberFormat="1" applyFont="1" applyAlignment="1">
      <alignment vertical="center"/>
    </xf>
    <xf numFmtId="9" fontId="5" fillId="4" borderId="0" xfId="0" applyNumberFormat="1" applyFont="1" applyFill="1" applyAlignment="1">
      <alignment vertical="center"/>
    </xf>
    <xf numFmtId="164" fontId="14" fillId="0" borderId="0" xfId="0" applyNumberFormat="1" applyFont="1" applyAlignment="1">
      <alignment vertical="center"/>
    </xf>
    <xf numFmtId="0" fontId="10" fillId="0" borderId="0" xfId="0" applyFont="1" applyAlignment="1">
      <alignment horizontal="left" vertical="center" indent="2"/>
    </xf>
    <xf numFmtId="43" fontId="5" fillId="0" borderId="0" xfId="1" applyFont="1" applyAlignment="1">
      <alignment vertical="center"/>
    </xf>
    <xf numFmtId="177" fontId="5" fillId="0" borderId="0" xfId="0" applyNumberFormat="1" applyFont="1" applyAlignment="1">
      <alignment vertical="center"/>
    </xf>
    <xf numFmtId="177" fontId="5" fillId="0" borderId="0" xfId="1" applyNumberFormat="1" applyFont="1" applyFill="1" applyAlignment="1">
      <alignment vertical="center"/>
    </xf>
    <xf numFmtId="0" fontId="5" fillId="0" borderId="0" xfId="0" quotePrefix="1" applyFont="1" applyAlignment="1">
      <alignment vertical="center"/>
    </xf>
    <xf numFmtId="170" fontId="5" fillId="0" borderId="0" xfId="3" applyNumberFormat="1" applyFont="1" applyAlignment="1">
      <alignment vertical="center"/>
    </xf>
    <xf numFmtId="178" fontId="5" fillId="0" borderId="0" xfId="3" applyNumberFormat="1" applyFont="1" applyAlignment="1">
      <alignment vertical="center"/>
    </xf>
    <xf numFmtId="177" fontId="5" fillId="0" borderId="0" xfId="1" applyNumberFormat="1" applyFont="1" applyAlignment="1">
      <alignment horizontal="left" vertical="center"/>
    </xf>
    <xf numFmtId="14" fontId="5" fillId="0" borderId="0" xfId="1" applyNumberFormat="1" applyFont="1" applyAlignment="1">
      <alignment horizontal="center" vertical="center"/>
    </xf>
    <xf numFmtId="0" fontId="5" fillId="0" borderId="0" xfId="1" applyNumberFormat="1" applyFont="1" applyAlignment="1">
      <alignment horizontal="center" vertical="center"/>
    </xf>
    <xf numFmtId="177" fontId="5" fillId="4" borderId="0" xfId="1" applyNumberFormat="1" applyFont="1" applyFill="1" applyAlignment="1">
      <alignment horizontal="left" vertical="center"/>
    </xf>
    <xf numFmtId="43" fontId="5" fillId="0" borderId="0" xfId="1" applyFont="1" applyBorder="1" applyAlignment="1">
      <alignment vertical="center"/>
    </xf>
    <xf numFmtId="177" fontId="5" fillId="0" borderId="0" xfId="1" applyNumberFormat="1" applyFont="1" applyFill="1" applyAlignment="1">
      <alignment horizontal="left" vertical="center"/>
    </xf>
    <xf numFmtId="14" fontId="5" fillId="0" borderId="0" xfId="1" applyNumberFormat="1" applyFont="1" applyFill="1" applyAlignment="1">
      <alignment horizontal="center" vertical="center"/>
    </xf>
    <xf numFmtId="0" fontId="5" fillId="0" borderId="0" xfId="1" applyNumberFormat="1" applyFont="1" applyFill="1" applyAlignment="1">
      <alignment horizontal="center" vertical="center"/>
    </xf>
    <xf numFmtId="177" fontId="5" fillId="0" borderId="0" xfId="0" applyNumberFormat="1" applyFont="1" applyAlignment="1">
      <alignment horizontal="left" indent="2"/>
    </xf>
    <xf numFmtId="0" fontId="3" fillId="0" borderId="0" xfId="0" applyFont="1" applyFill="1" applyAlignment="1">
      <alignment vertical="center"/>
    </xf>
    <xf numFmtId="0" fontId="3" fillId="0" borderId="0" xfId="0" applyFont="1" applyFill="1"/>
    <xf numFmtId="167" fontId="5" fillId="0" borderId="0" xfId="0" applyNumberFormat="1" applyFont="1" applyAlignment="1">
      <alignment vertical="center"/>
    </xf>
    <xf numFmtId="0" fontId="6" fillId="0" borderId="0" xfId="0" applyFont="1" applyAlignment="1">
      <alignment horizontal="left" vertical="top"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13" fillId="0" borderId="0" xfId="0" applyFont="1" applyAlignment="1">
      <alignment horizontal="left" vertical="center" wrapText="1"/>
    </xf>
    <xf numFmtId="0" fontId="8"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xf>
  </cellXfs>
  <cellStyles count="5">
    <cellStyle name="Comma" xfId="1" builtinId="3"/>
    <cellStyle name="Comma 2" xfId="4" xr:uid="{7DCB4D3F-D6ED-4222-B4E7-F5B10F5E9DE5}"/>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melf001\glp\Cisopsman\CENTSUP\MTHREP\Fund%20value%20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au100qsm00.oceania.corp.anz.com\CFOGS\Advisory\ANZ%20Bank\Project%20Enterprise\etrade%20Comps1602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98-AM%20Reporting%20Outputs\06_June_2017\02_NULIS\SRS%20530\AM_NULISPCRS_530.0_CurrencyHedge_31032017.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m_syd_fs1\data\MSD\EXCEL\MIKE\SEP98\BOND09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au100qsm00.oceania.corp.anz.com\kohnem1$\Documents%20and%20Settings\jl.CWCSYD\Local%20Settings\Temporary%20Internet%20Files\OLK408\Graph%20Model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Monthly%20Report\March%202004\New%20Monthly%20Report%20-%20March%2004%20v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Stronger%20Super\3rd%20Tranche\Asset%20Management\Asset%20Management%20Reporting%20Outputs\December%202014\99-Latest%20version%20of%20workbooks\AM_HedgeFund_Calculations_AllRSEs_530.0_v1.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VALS"/>
      <sheetName val="Graphs"/>
      <sheetName val="INDEX"/>
      <sheetName val="INPUTS- GCM - Basel III"/>
      <sheetName val="RWA_L2"/>
      <sheetName val="Dropdowns"/>
      <sheetName val="Fund value charts"/>
    </sheetNames>
    <sheetDataSet>
      <sheetData sheetId="0" refreshError="1"/>
      <sheetData sheetId="1" refreshError="1"/>
      <sheetData sheetId="2" refreshError="1">
        <row r="15">
          <cell r="A15" t="str">
            <v>J95</v>
          </cell>
          <cell r="F15">
            <v>3.0656999999999996</v>
          </cell>
          <cell r="G15">
            <v>3.8384800000000001</v>
          </cell>
          <cell r="H15">
            <v>3.9368000000000003</v>
          </cell>
        </row>
        <row r="16">
          <cell r="F16">
            <v>3.0173000000000001</v>
          </cell>
          <cell r="G16">
            <v>3.8475600000000001</v>
          </cell>
          <cell r="H16">
            <v>3.7478800000000003</v>
          </cell>
        </row>
        <row r="17">
          <cell r="A17" t="str">
            <v>M</v>
          </cell>
          <cell r="F17">
            <v>3.0411999999999999</v>
          </cell>
          <cell r="G17">
            <v>3.9948000000000001</v>
          </cell>
          <cell r="H17">
            <v>3.3237399999999999</v>
          </cell>
        </row>
        <row r="18">
          <cell r="F18">
            <v>3.1431</v>
          </cell>
          <cell r="G18">
            <v>4.1576899999999997</v>
          </cell>
          <cell r="H18">
            <v>3.0762399999999999</v>
          </cell>
        </row>
        <row r="19">
          <cell r="A19" t="str">
            <v>M</v>
          </cell>
          <cell r="F19">
            <v>3.2204000000000002</v>
          </cell>
          <cell r="G19">
            <v>4.3160800000000004</v>
          </cell>
          <cell r="H19">
            <v>3.3683000000000001</v>
          </cell>
        </row>
        <row r="20">
          <cell r="F20">
            <v>3.3765999999999998</v>
          </cell>
          <cell r="G20">
            <v>4.4620299999999995</v>
          </cell>
          <cell r="H20">
            <v>3.13592</v>
          </cell>
        </row>
        <row r="21">
          <cell r="A21" t="str">
            <v>J</v>
          </cell>
          <cell r="F21">
            <v>3.3236999999999997</v>
          </cell>
          <cell r="G21">
            <v>4.5851499999999996</v>
          </cell>
          <cell r="H21">
            <v>2.8970799999999999</v>
          </cell>
        </row>
        <row r="22">
          <cell r="F22">
            <v>3.4499</v>
          </cell>
          <cell r="G22">
            <v>4.7003699999999995</v>
          </cell>
          <cell r="H22">
            <v>3.2717199999999997</v>
          </cell>
        </row>
        <row r="23">
          <cell r="A23" t="str">
            <v>S</v>
          </cell>
          <cell r="F23">
            <v>3.5094000000000003</v>
          </cell>
          <cell r="G23">
            <v>4.6475400000000002</v>
          </cell>
          <cell r="H23">
            <v>3.6242199999999998</v>
          </cell>
        </row>
        <row r="24">
          <cell r="G24">
            <v>4.7890800000000002</v>
          </cell>
          <cell r="H24">
            <v>3.5479600000000002</v>
          </cell>
        </row>
        <row r="25">
          <cell r="G25">
            <v>4.76668</v>
          </cell>
          <cell r="H25">
            <v>3.49498</v>
          </cell>
        </row>
        <row r="26">
          <cell r="G26">
            <v>5.0871300000000002</v>
          </cell>
          <cell r="H26">
            <v>3.7666200000000001</v>
          </cell>
        </row>
        <row r="27">
          <cell r="G27">
            <v>5.1774499999999994</v>
          </cell>
          <cell r="H27">
            <v>3.9736400000000001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dj. EPS"/>
      <sheetName val="Data"/>
      <sheetName val="Output1"/>
      <sheetName val="WACC"/>
      <sheetName val="Profile"/>
      <sheetName val="Valuation"/>
      <sheetName val="Merger Cons"/>
      <sheetName val="MultiAcq"/>
      <sheetName val="__APW_ACTIVE_FIELD_RESTORE__"/>
      <sheetName val="Assumptions"/>
      <sheetName val="CONSERVATIVE"/>
      <sheetName val="Details All"/>
      <sheetName val="ANZDetails"/>
      <sheetName val="NBNZ Details"/>
      <sheetName val="Instructions"/>
      <sheetName val="Definition"/>
      <sheetName val="Acc List"/>
    </sheetNames>
    <sheetDataSet>
      <sheetData sheetId="0" refreshError="1"/>
      <sheetData sheetId="1" refreshError="1"/>
      <sheetData sheetId="2" refreshError="1">
        <row r="23">
          <cell r="E23">
            <v>0</v>
          </cell>
          <cell r="J23">
            <v>0</v>
          </cell>
          <cell r="O23">
            <v>0</v>
          </cell>
          <cell r="T23">
            <v>0</v>
          </cell>
          <cell r="Y23">
            <v>0</v>
          </cell>
          <cell r="AD23">
            <v>0</v>
          </cell>
          <cell r="AI23">
            <v>0</v>
          </cell>
          <cell r="AN23">
            <v>0</v>
          </cell>
          <cell r="AS23">
            <v>0</v>
          </cell>
          <cell r="AX23">
            <v>0</v>
          </cell>
          <cell r="BC23">
            <v>0</v>
          </cell>
          <cell r="BH23">
            <v>0</v>
          </cell>
          <cell r="BM23">
            <v>0</v>
          </cell>
          <cell r="BR23">
            <v>0</v>
          </cell>
        </row>
        <row r="29">
          <cell r="E29">
            <v>53.868000000000002</v>
          </cell>
          <cell r="F29">
            <v>105.932</v>
          </cell>
          <cell r="J29">
            <v>23.716999999999999</v>
          </cell>
          <cell r="K29">
            <v>28.241</v>
          </cell>
          <cell r="O29">
            <v>61.05</v>
          </cell>
          <cell r="P29">
            <v>71.558000000000007</v>
          </cell>
          <cell r="T29">
            <v>2537.0250000000001</v>
          </cell>
          <cell r="U29">
            <v>3839.9380000000001</v>
          </cell>
          <cell r="Y29">
            <v>89.317999999999998</v>
          </cell>
          <cell r="Z29">
            <v>115.913</v>
          </cell>
          <cell r="AD29">
            <v>1089.384</v>
          </cell>
          <cell r="AE29">
            <v>2083.9780000000001</v>
          </cell>
          <cell r="AI29">
            <v>281.86500000000001</v>
          </cell>
          <cell r="AJ29">
            <v>308.33100000000002</v>
          </cell>
          <cell r="AN29">
            <v>42.206000000000003</v>
          </cell>
          <cell r="AO29">
            <v>53.201000000000001</v>
          </cell>
          <cell r="AS29">
            <v>42.206000000000003</v>
          </cell>
          <cell r="AT29">
            <v>53.201000000000001</v>
          </cell>
          <cell r="AX29">
            <v>41.113999999999997</v>
          </cell>
          <cell r="AY29">
            <v>54.418999999999997</v>
          </cell>
          <cell r="BC29">
            <v>4305</v>
          </cell>
          <cell r="BD29" t="e">
            <v>#N/A</v>
          </cell>
          <cell r="BH29">
            <v>4305</v>
          </cell>
          <cell r="BI29" t="e">
            <v>#N/A</v>
          </cell>
          <cell r="BM29">
            <v>4305</v>
          </cell>
          <cell r="BN29" t="e">
            <v>#N/A</v>
          </cell>
          <cell r="BR29">
            <v>4305</v>
          </cell>
          <cell r="BS29" t="e">
            <v>#N/A</v>
          </cell>
        </row>
        <row r="30">
          <cell r="E30">
            <v>13.645</v>
          </cell>
          <cell r="F30">
            <v>30.236000000000001</v>
          </cell>
          <cell r="J30">
            <v>4.2679999999999998</v>
          </cell>
          <cell r="K30">
            <v>9.4760000000000009</v>
          </cell>
          <cell r="O30">
            <v>25.492000000000001</v>
          </cell>
          <cell r="P30">
            <v>33.951000000000001</v>
          </cell>
          <cell r="T30">
            <v>1083.03</v>
          </cell>
          <cell r="U30">
            <v>1231.0740000000001</v>
          </cell>
          <cell r="Y30">
            <v>53.872999999999998</v>
          </cell>
          <cell r="Z30">
            <v>82.546000000000006</v>
          </cell>
          <cell r="AD30">
            <v>721.26599999999996</v>
          </cell>
          <cell r="AE30">
            <v>1348.883</v>
          </cell>
          <cell r="AI30">
            <v>217.31700000000001</v>
          </cell>
          <cell r="AJ30">
            <v>200.96199999999999</v>
          </cell>
          <cell r="AN30">
            <v>18.231999999999999</v>
          </cell>
          <cell r="AO30">
            <v>24.027999999999999</v>
          </cell>
          <cell r="AS30">
            <v>18.231999999999999</v>
          </cell>
          <cell r="AT30">
            <v>24.027999999999999</v>
          </cell>
          <cell r="AX30">
            <v>13.38</v>
          </cell>
          <cell r="AY30">
            <v>24.393000000000001</v>
          </cell>
          <cell r="BC30">
            <v>2097</v>
          </cell>
          <cell r="BD30" t="e">
            <v>#N/A</v>
          </cell>
          <cell r="BH30">
            <v>2097</v>
          </cell>
          <cell r="BI30" t="e">
            <v>#N/A</v>
          </cell>
          <cell r="BM30">
            <v>2097</v>
          </cell>
          <cell r="BN30" t="e">
            <v>#N/A</v>
          </cell>
          <cell r="BR30">
            <v>2097</v>
          </cell>
          <cell r="BS30" t="e">
            <v>#N/A</v>
          </cell>
        </row>
        <row r="31">
          <cell r="E31">
            <v>12.446999999999999</v>
          </cell>
          <cell r="F31">
            <v>24.693999999999999</v>
          </cell>
          <cell r="J31">
            <v>3.6339999999999999</v>
          </cell>
          <cell r="K31">
            <v>8.6530000000000005</v>
          </cell>
          <cell r="O31">
            <v>21.623000000000001</v>
          </cell>
          <cell r="P31">
            <v>29.893999999999998</v>
          </cell>
          <cell r="T31">
            <v>720.06500000000005</v>
          </cell>
          <cell r="U31">
            <v>1111.009</v>
          </cell>
          <cell r="Y31">
            <v>52.225000000000001</v>
          </cell>
          <cell r="Z31">
            <v>80.253</v>
          </cell>
          <cell r="AD31">
            <v>696.85799999999995</v>
          </cell>
          <cell r="AE31">
            <v>1285.3979999999999</v>
          </cell>
          <cell r="AI31">
            <v>208.07400000000001</v>
          </cell>
          <cell r="AJ31">
            <v>190.47900000000001</v>
          </cell>
          <cell r="AN31">
            <v>17.597000000000001</v>
          </cell>
          <cell r="AO31">
            <v>22.873000000000001</v>
          </cell>
          <cell r="AS31">
            <v>17.597000000000001</v>
          </cell>
          <cell r="AT31">
            <v>22.873000000000001</v>
          </cell>
          <cell r="AX31">
            <v>13.180999999999999</v>
          </cell>
          <cell r="AY31">
            <v>24.106999999999999</v>
          </cell>
          <cell r="BC31">
            <v>1889</v>
          </cell>
          <cell r="BD31" t="e">
            <v>#N/A</v>
          </cell>
          <cell r="BH31">
            <v>1889</v>
          </cell>
          <cell r="BI31" t="e">
            <v>#N/A</v>
          </cell>
          <cell r="BM31">
            <v>1889</v>
          </cell>
          <cell r="BN31" t="e">
            <v>#N/A</v>
          </cell>
          <cell r="BR31">
            <v>1889</v>
          </cell>
          <cell r="BS31" t="e">
            <v>#N/A</v>
          </cell>
        </row>
        <row r="32">
          <cell r="E32">
            <v>0.23236999999999999</v>
          </cell>
          <cell r="F32">
            <v>0.34171000000000001</v>
          </cell>
          <cell r="J32">
            <v>9.2539999999999997E-2</v>
          </cell>
          <cell r="K32">
            <v>0.13952999999999999</v>
          </cell>
          <cell r="O32">
            <v>0.12417</v>
          </cell>
          <cell r="P32">
            <v>0.18174000000000001</v>
          </cell>
          <cell r="T32">
            <v>1.2012799999999999</v>
          </cell>
          <cell r="U32">
            <v>1.4884200000000001</v>
          </cell>
          <cell r="Y32">
            <v>0.55742999999999998</v>
          </cell>
          <cell r="Z32">
            <v>0.79342000000000001</v>
          </cell>
          <cell r="AD32">
            <v>0.84053</v>
          </cell>
          <cell r="AE32">
            <v>0.96775999999999995</v>
          </cell>
          <cell r="AI32">
            <v>1.62608</v>
          </cell>
          <cell r="AJ32">
            <v>1.3189599999999999</v>
          </cell>
          <cell r="AN32">
            <v>0.15870000000000001</v>
          </cell>
          <cell r="AO32">
            <v>0.20196</v>
          </cell>
          <cell r="AS32">
            <v>0.15870000000000001</v>
          </cell>
          <cell r="AT32">
            <v>0.20196</v>
          </cell>
          <cell r="AX32">
            <v>0.2107</v>
          </cell>
          <cell r="AY32">
            <v>0.35121000000000002</v>
          </cell>
          <cell r="BC32">
            <v>0.56371000000000004</v>
          </cell>
          <cell r="BD32">
            <v>0.95</v>
          </cell>
          <cell r="BH32">
            <v>0.56371000000000004</v>
          </cell>
          <cell r="BI32">
            <v>0.95</v>
          </cell>
          <cell r="BM32">
            <v>0.56371000000000004</v>
          </cell>
          <cell r="BN32">
            <v>0.95</v>
          </cell>
          <cell r="BR32">
            <v>0.56371000000000004</v>
          </cell>
          <cell r="BS32">
            <v>0.95</v>
          </cell>
        </row>
      </sheetData>
      <sheetData sheetId="3" refreshError="1"/>
      <sheetData sheetId="4" refreshError="1"/>
      <sheetData sheetId="5" refreshError="1">
        <row r="63">
          <cell r="B63" t="str">
            <v>Queensland Investment Corp.</v>
          </cell>
          <cell r="C63">
            <v>7543215</v>
          </cell>
          <cell r="D63">
            <v>1.704124</v>
          </cell>
          <cell r="E63">
            <v>1.131</v>
          </cell>
        </row>
        <row r="64">
          <cell r="B64" t="str">
            <v>AMP Capital Investors Ltd.</v>
          </cell>
          <cell r="C64">
            <v>5478193</v>
          </cell>
          <cell r="D64">
            <v>1.2892699999999999</v>
          </cell>
          <cell r="E64">
            <v>0.82199999999999995</v>
          </cell>
        </row>
        <row r="65">
          <cell r="B65" t="str">
            <v>UBS Global Asset Management (Australia) Ltd.</v>
          </cell>
          <cell r="C65">
            <v>4629715</v>
          </cell>
          <cell r="D65">
            <v>2.0100829999999998</v>
          </cell>
          <cell r="E65">
            <v>0.69399999999999995</v>
          </cell>
        </row>
        <row r="66">
          <cell r="B66" t="str">
            <v>Barclays Global Investors NA (CA)</v>
          </cell>
          <cell r="C66">
            <v>3382947</v>
          </cell>
          <cell r="D66">
            <v>1.100287E-2</v>
          </cell>
          <cell r="E66">
            <v>0.50700000000000001</v>
          </cell>
        </row>
        <row r="67">
          <cell r="B67" t="str">
            <v>Perennial Investment Partners Ltd.</v>
          </cell>
          <cell r="C67">
            <v>3229915</v>
          </cell>
          <cell r="D67">
            <v>3.0461860000000001</v>
          </cell>
          <cell r="E67">
            <v>0.48399999999999999</v>
          </cell>
        </row>
        <row r="68">
          <cell r="B68" t="str">
            <v>First State Investments International (UK) Ltd.</v>
          </cell>
          <cell r="C68">
            <v>2980277</v>
          </cell>
          <cell r="D68">
            <v>1.0282549999999999</v>
          </cell>
          <cell r="E68">
            <v>0.44700000000000001</v>
          </cell>
        </row>
        <row r="69">
          <cell r="B69" t="str">
            <v>Australian Foundation Investment Co. Ltd.</v>
          </cell>
          <cell r="C69">
            <v>2150000</v>
          </cell>
          <cell r="D69">
            <v>1.5206550000000001</v>
          </cell>
          <cell r="E69">
            <v>0.32200000000000001</v>
          </cell>
        </row>
        <row r="70">
          <cell r="B70" t="str">
            <v>Neuberger Berman LLC</v>
          </cell>
          <cell r="C70">
            <v>2037109</v>
          </cell>
          <cell r="D70">
            <v>6.3707710000000001E-2</v>
          </cell>
          <cell r="E70">
            <v>0.30599999999999999</v>
          </cell>
        </row>
        <row r="71">
          <cell r="B71" t="str">
            <v>Norges Bank Investment Management</v>
          </cell>
          <cell r="C71">
            <v>1826413</v>
          </cell>
          <cell r="D71">
            <v>5.0379889999999997E-2</v>
          </cell>
          <cell r="E71">
            <v>0.27400000000000002</v>
          </cell>
        </row>
        <row r="72">
          <cell r="B72" t="str">
            <v>Schroder Investment Management (UK) Ltd.</v>
          </cell>
          <cell r="C72">
            <v>1765900</v>
          </cell>
          <cell r="D72">
            <v>5.465573E-2</v>
          </cell>
          <cell r="E72">
            <v>0.26500000000000001</v>
          </cell>
        </row>
        <row r="73">
          <cell r="B73" t="str">
            <v>Vanguard Group, Inc.</v>
          </cell>
          <cell r="C73">
            <v>1573838</v>
          </cell>
          <cell r="D73">
            <v>8.6657100000000001E-3</v>
          </cell>
          <cell r="E73">
            <v>0.23599999999999999</v>
          </cell>
        </row>
        <row r="74">
          <cell r="B74" t="str">
            <v>Australian Reward Investment Alliance</v>
          </cell>
          <cell r="C74">
            <v>1473369</v>
          </cell>
          <cell r="D74">
            <v>2.0286819999999999</v>
          </cell>
          <cell r="E74">
            <v>0.221</v>
          </cell>
        </row>
        <row r="75">
          <cell r="B75" t="str">
            <v>DWS Investment GmbH (Germany)</v>
          </cell>
          <cell r="C75">
            <v>1300000</v>
          </cell>
          <cell r="D75">
            <v>4.7706560000000002E-2</v>
          </cell>
          <cell r="E75">
            <v>0.19500000000000001</v>
          </cell>
        </row>
        <row r="76">
          <cell r="B76" t="str">
            <v>TIAA-CREF Asset Management LLC</v>
          </cell>
          <cell r="C76">
            <v>1173690</v>
          </cell>
          <cell r="D76">
            <v>1.705831E-2</v>
          </cell>
          <cell r="E76">
            <v>0.17599999999999999</v>
          </cell>
        </row>
        <row r="77">
          <cell r="B77" t="str">
            <v>Schroder Investment Management (Singapore) Ltd.</v>
          </cell>
          <cell r="C77">
            <v>1145215</v>
          </cell>
          <cell r="D77">
            <v>0.48192810000000003</v>
          </cell>
          <cell r="E77">
            <v>0.17199999999999999</v>
          </cell>
        </row>
        <row r="78">
          <cell r="B78" t="str">
            <v>Standard Life Investments Ltd.</v>
          </cell>
          <cell r="C78">
            <v>990238</v>
          </cell>
          <cell r="D78">
            <v>3.8765859999999999E-2</v>
          </cell>
          <cell r="E78">
            <v>0.14899999999999999</v>
          </cell>
        </row>
        <row r="79">
          <cell r="B79" t="str">
            <v>Schroder Investment Management (Australia) Ltd.</v>
          </cell>
          <cell r="C79">
            <v>925965</v>
          </cell>
          <cell r="D79">
            <v>0.57797679999999996</v>
          </cell>
          <cell r="E79">
            <v>0.13900000000000001</v>
          </cell>
        </row>
        <row r="80">
          <cell r="B80" t="str">
            <v>Fidelity Investments Management (Hong Kong) Ltd.</v>
          </cell>
          <cell r="C80">
            <v>904323</v>
          </cell>
          <cell r="D80">
            <v>0.15209900000000001</v>
          </cell>
          <cell r="E80">
            <v>0.13600000000000001</v>
          </cell>
        </row>
        <row r="81">
          <cell r="B81" t="str">
            <v>Australian United Investment Co. Ltd.</v>
          </cell>
          <cell r="C81">
            <v>820000</v>
          </cell>
          <cell r="D81">
            <v>4.0754130000000002</v>
          </cell>
          <cell r="E81">
            <v>0.123</v>
          </cell>
        </row>
        <row r="82">
          <cell r="B82" t="str">
            <v>Grantham, Mayo, Van Otterloo LLC</v>
          </cell>
          <cell r="C82">
            <v>713569</v>
          </cell>
          <cell r="D82">
            <v>2.4013719999999999E-2</v>
          </cell>
          <cell r="E82">
            <v>0.107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eadsheet Control"/>
      <sheetName val="Overview"/>
      <sheetName val="Sign offs"/>
      <sheetName val="Checklist"/>
      <sheetName val="Notes to Reviewer"/>
      <sheetName val="Reviewer Question&amp;Notes"/>
      <sheetName val="DASHBOARD"/>
      <sheetName val="530.0-RSEOUTPUT_20170331"/>
      <sheetName val="530.0-RSEOUTPUT-Other"/>
      <sheetName val="530.0-RSEOUTPUT-HF"/>
      <sheetName val="Quarter on Quarter Output Rec"/>
      <sheetName val="RSE_APRAAA"/>
      <sheetName val="HF_Rec"/>
      <sheetName val="Inter_Calc_20170331"/>
      <sheetName val="Inter_Calc_20161231"/>
      <sheetName val="530.0-RSEOUTPUT_20161231"/>
      <sheetName val="CH_Fund_List"/>
      <sheetName val="CH_Ratios"/>
      <sheetName val="HF_Input"/>
      <sheetName val="RSE_NonMIS_Data_20170331"/>
      <sheetName val="MStar_Ausmaq_AA_20170331"/>
      <sheetName val="IMM_Fund_List"/>
      <sheetName val="IMM_Ratios"/>
      <sheetName val="RSE_MIS_Data_20170331"/>
      <sheetName val="IMPORT_PARAM"/>
      <sheetName val="APRA_Asset_Class_Mapping"/>
      <sheetName val="PARAM"/>
      <sheetName val="Onsale - Ord Money AA"/>
      <sheetName val="Pre Select AA"/>
      <sheetName val="LTAR NS"/>
      <sheetName val="Onsale - Inflation Plus"/>
      <sheetName val="MSTAR DATA Input Model"/>
      <sheetName val="RSE DATA Input Mod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
          <cell r="K3" t="str">
            <v>DPMRS</v>
          </cell>
        </row>
        <row r="4">
          <cell r="K4" t="str">
            <v>PCRS</v>
          </cell>
        </row>
        <row r="5">
          <cell r="K5" t="str">
            <v>PST</v>
          </cell>
        </row>
      </sheetData>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analysis"/>
      <sheetName val="charges"/>
      <sheetName val="YE adj"/>
      <sheetName val="Valuation"/>
      <sheetName val="factors"/>
      <sheetName val="Data"/>
      <sheetName val="Assumptions"/>
      <sheetName val="04"/>
      <sheetName val="08"/>
      <sheetName val="12"/>
      <sheetName val="02"/>
      <sheetName val="01"/>
      <sheetName val="07"/>
      <sheetName val="06"/>
      <sheetName val="03"/>
      <sheetName val="05"/>
      <sheetName val="11"/>
      <sheetName val="10"/>
      <sheetName val="09"/>
      <sheetName val="Table"/>
      <sheetName val="Matrix"/>
      <sheetName val="YE_adj"/>
      <sheetName val="Lookups"/>
      <sheetName val="control"/>
      <sheetName val="Template_Control"/>
      <sheetName val="Variables"/>
      <sheetName val="Acc List"/>
      <sheetName val="List"/>
      <sheetName val="BOND0998"/>
      <sheetName val="Lookup"/>
      <sheetName val="Instructions"/>
      <sheetName val="Assump_ForecastFlows"/>
      <sheetName val="Assump_Others"/>
      <sheetName val="Mappings"/>
      <sheetName val="lookup values"/>
      <sheetName val="[ᅠ࿢_x0000__x0000__x0000__x0000__x0000__x0000__x0000__x0000_LS_x0000__x0000__x0000__x0000__x0000__x0000__x0000__x0000__x0000__x0000_"/>
      <sheetName val="Sheet2"/>
      <sheetName val="AccountMapping"/>
      <sheetName val="Lists"/>
      <sheetName val="Col P. Apprd, hiring inprogress"/>
      <sheetName val="Inputs"/>
      <sheetName val="ValidationLists"/>
      <sheetName val="SR region &amp; driver mapping"/>
      <sheetName val="Drop down"/>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s"/>
      <sheetName val="Price"/>
      <sheetName val="Index"/>
      <sheetName val="PV"/>
      <sheetName val="P@V"/>
      <sheetName val="Data"/>
      <sheetName val="Profile"/>
      <sheetName val="MultiAcq"/>
      <sheetName val="Private Rev Summary excl IL Sha"/>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ChartLabels"/>
      <sheetName val="P&amp;L feb - group"/>
      <sheetName val="Aust Revenue"/>
      <sheetName val="NZ Revenue"/>
      <sheetName val="Group Charts"/>
      <sheetName val="P&amp;L Feb - Aust"/>
      <sheetName val="Detailed P &amp; L Aust"/>
      <sheetName val="P&amp;L Feb - New Zealand"/>
      <sheetName val="Pipeline Summary"/>
      <sheetName val="Pipeline Graph"/>
      <sheetName val="Forecast"/>
      <sheetName val="Forecast Graphs"/>
      <sheetName val="April Revenue"/>
      <sheetName val="League Tables"/>
      <sheetName val="Wins"/>
      <sheetName val="Losses"/>
      <sheetName val="Recoverable Project List"/>
      <sheetName val="Debtors report"/>
      <sheetName val="Trading Summary"/>
      <sheetName val="Waterfall (2)"/>
    </sheetNames>
    <sheetDataSet>
      <sheetData sheetId="0" refreshError="1">
        <row r="1">
          <cell r="A1" t="str">
            <v>IND
30%</v>
          </cell>
        </row>
        <row r="2">
          <cell r="A2" t="str">
            <v>PRP
21%</v>
          </cell>
        </row>
        <row r="3">
          <cell r="A3" t="str">
            <v>RES
11%</v>
          </cell>
        </row>
        <row r="4">
          <cell r="A4" t="str">
            <v>FIG
7%</v>
          </cell>
        </row>
        <row r="5">
          <cell r="A5" t="str">
            <v>CRH
13%</v>
          </cell>
        </row>
        <row r="6">
          <cell r="A6" t="str">
            <v>NZ
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eadsheet Control"/>
      <sheetName val="Overview"/>
      <sheetName val="Notes to Reviewer"/>
      <sheetName val="Reviewer Questions"/>
      <sheetName val="Checklist"/>
      <sheetName val="HF_FinalCalc"/>
      <sheetName val="RSE_HF_DownwardRatio"/>
      <sheetName val="IO_HF_DownwardRatio"/>
      <sheetName val="AllRSEs_Holdings"/>
      <sheetName val="HF_IO_UpwardRatios"/>
      <sheetName val="HF_UNISONStructure"/>
      <sheetName val="HF_List&amp;Characterisctics"/>
      <sheetName val="Static_Data_File"/>
      <sheetName val="PAR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I2" t="str">
            <v>MLC Nom - TUSS</v>
          </cell>
        </row>
        <row r="3">
          <cell r="I3" t="str">
            <v>PFS Nominees - PSF</v>
          </cell>
        </row>
        <row r="4">
          <cell r="I4" t="str">
            <v>PFS Nominees - PST</v>
          </cell>
        </row>
        <row r="5">
          <cell r="I5" t="str">
            <v>PFS Nominees - BHP</v>
          </cell>
        </row>
        <row r="6">
          <cell r="I6" t="str">
            <v>PFS Nominees - Worsley</v>
          </cell>
        </row>
        <row r="7">
          <cell r="I7" t="str">
            <v>PFS Nominees - NAGBSF</v>
          </cell>
        </row>
        <row r="8">
          <cell r="I8" t="str">
            <v>NULIS Nominees - PST</v>
          </cell>
        </row>
        <row r="9">
          <cell r="I9" t="str">
            <v>NULIS Nominees - PCRS</v>
          </cell>
        </row>
        <row r="10">
          <cell r="I10" t="str">
            <v>NULIS Nominees - DPRMS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F8A11-D043-498F-86AA-2B818B5116A0}">
  <sheetPr>
    <pageSetUpPr fitToPage="1"/>
  </sheetPr>
  <dimension ref="A1:M6"/>
  <sheetViews>
    <sheetView showGridLines="0" tabSelected="1" zoomScaleNormal="100" zoomScaleSheetLayoutView="100" workbookViewId="0"/>
  </sheetViews>
  <sheetFormatPr defaultColWidth="9.140625" defaultRowHeight="12.75" customHeight="1" x14ac:dyDescent="0.2"/>
  <cols>
    <col min="1" max="1" width="84.7109375" style="10" customWidth="1"/>
    <col min="2" max="8" width="9.5703125" style="10" customWidth="1"/>
    <col min="9" max="9" width="2.5703125" style="10" customWidth="1"/>
    <col min="10" max="10" width="9.5703125" style="10" customWidth="1"/>
    <col min="11" max="11" width="9.7109375" style="10" customWidth="1"/>
    <col min="12" max="19" width="9.5703125" style="10" customWidth="1"/>
    <col min="20" max="16384" width="9.140625" style="10"/>
  </cols>
  <sheetData>
    <row r="1" spans="1:13" s="3" customFormat="1" ht="27.95" customHeight="1" x14ac:dyDescent="0.25">
      <c r="A1" s="1" t="s">
        <v>0</v>
      </c>
      <c r="B1" s="2"/>
      <c r="C1" s="2"/>
      <c r="D1" s="2"/>
      <c r="E1" s="2"/>
      <c r="F1" s="2"/>
      <c r="G1" s="2"/>
      <c r="H1" s="2"/>
      <c r="I1" s="2"/>
      <c r="J1" s="2"/>
      <c r="K1" s="2"/>
      <c r="L1" s="179"/>
    </row>
    <row r="2" spans="1:13" ht="12.75" customHeight="1" x14ac:dyDescent="0.2">
      <c r="L2" s="180"/>
    </row>
    <row r="3" spans="1:13" s="3" customFormat="1" ht="18" customHeight="1" x14ac:dyDescent="0.25">
      <c r="A3" s="4" t="s">
        <v>1</v>
      </c>
      <c r="B3" s="5"/>
      <c r="C3" s="5"/>
      <c r="D3" s="5"/>
      <c r="E3" s="5"/>
      <c r="F3" s="5"/>
      <c r="G3" s="5"/>
      <c r="H3" s="5"/>
      <c r="I3" s="5"/>
      <c r="J3" s="5"/>
      <c r="K3" s="5"/>
      <c r="L3" s="179"/>
    </row>
    <row r="4" spans="1:13" s="6" customFormat="1" ht="12.75" customHeight="1" x14ac:dyDescent="0.2"/>
    <row r="5" spans="1:13" s="6" customFormat="1" ht="267.75" customHeight="1" x14ac:dyDescent="0.2">
      <c r="A5" s="182" t="s">
        <v>2</v>
      </c>
      <c r="B5" s="182"/>
      <c r="C5" s="182"/>
      <c r="D5" s="182"/>
      <c r="E5" s="182"/>
      <c r="F5" s="182"/>
      <c r="G5" s="182"/>
      <c r="H5" s="182"/>
      <c r="I5" s="182"/>
      <c r="J5" s="182"/>
      <c r="K5" s="182"/>
      <c r="L5" s="7"/>
    </row>
    <row r="6" spans="1:13" ht="140.25" customHeight="1" x14ac:dyDescent="0.2">
      <c r="A6" s="183" t="s">
        <v>3</v>
      </c>
      <c r="B6" s="183"/>
      <c r="C6" s="183"/>
      <c r="D6" s="183"/>
      <c r="E6" s="183"/>
      <c r="F6" s="183"/>
      <c r="G6" s="183"/>
      <c r="H6" s="183"/>
      <c r="I6" s="183"/>
      <c r="J6" s="183"/>
      <c r="K6" s="183"/>
      <c r="L6" s="8"/>
      <c r="M6" s="9"/>
    </row>
  </sheetData>
  <mergeCells count="2">
    <mergeCell ref="A5:K5"/>
    <mergeCell ref="A6:K6"/>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5447D-256F-4274-8CA1-D4D869EAB627}">
  <sheetPr>
    <pageSetUpPr fitToPage="1"/>
  </sheetPr>
  <dimension ref="A1:N29"/>
  <sheetViews>
    <sheetView showGridLines="0" zoomScaleNormal="100" zoomScaleSheetLayoutView="100" workbookViewId="0"/>
  </sheetViews>
  <sheetFormatPr defaultColWidth="9.140625" defaultRowHeight="12.75" customHeight="1" x14ac:dyDescent="0.2"/>
  <cols>
    <col min="1" max="1" width="78.7109375" style="6" customWidth="1"/>
    <col min="2" max="8" width="9.5703125" style="6" customWidth="1"/>
    <col min="9" max="9" width="2.5703125" style="6" customWidth="1"/>
    <col min="10" max="11" width="9.5703125" style="6" customWidth="1"/>
    <col min="12" max="12" width="6.140625" style="6" customWidth="1"/>
    <col min="13" max="13" width="2.28515625" style="6" customWidth="1"/>
    <col min="14" max="16384" width="9.140625" style="6"/>
  </cols>
  <sheetData>
    <row r="1" spans="1:14" s="3" customFormat="1" ht="27.95" customHeight="1" x14ac:dyDescent="0.25">
      <c r="A1" s="1" t="s">
        <v>0</v>
      </c>
      <c r="B1" s="2"/>
      <c r="C1" s="2"/>
      <c r="D1" s="2"/>
      <c r="E1" s="2"/>
      <c r="F1" s="2"/>
      <c r="G1" s="2"/>
      <c r="H1" s="2"/>
      <c r="I1" s="2"/>
      <c r="J1" s="2"/>
      <c r="K1" s="2"/>
      <c r="L1" s="2"/>
      <c r="M1" s="179"/>
    </row>
    <row r="2" spans="1:14" s="10" customFormat="1" ht="12.75" customHeight="1" x14ac:dyDescent="0.2">
      <c r="M2" s="180"/>
    </row>
    <row r="3" spans="1:14" s="3" customFormat="1" ht="18" customHeight="1" x14ac:dyDescent="0.25">
      <c r="A3" s="4" t="s">
        <v>178</v>
      </c>
      <c r="B3" s="5"/>
      <c r="C3" s="5"/>
      <c r="D3" s="5"/>
      <c r="E3" s="5"/>
      <c r="F3" s="5"/>
      <c r="G3" s="5"/>
      <c r="H3" s="5"/>
      <c r="I3" s="5"/>
      <c r="J3" s="5"/>
      <c r="K3" s="5"/>
      <c r="L3" s="5"/>
      <c r="M3" s="179"/>
    </row>
    <row r="4" spans="1:14" s="8" customFormat="1" ht="25.5" customHeight="1" x14ac:dyDescent="0.25">
      <c r="A4" s="187" t="s">
        <v>5</v>
      </c>
      <c r="B4" s="187"/>
      <c r="C4" s="187"/>
      <c r="D4" s="187"/>
      <c r="E4" s="187"/>
      <c r="F4" s="187"/>
      <c r="G4" s="187"/>
      <c r="H4" s="187"/>
      <c r="I4" s="187"/>
      <c r="J4" s="187"/>
      <c r="K4" s="187"/>
    </row>
    <row r="5" spans="1:14" s="8" customFormat="1" ht="12.75" customHeight="1" x14ac:dyDescent="0.25">
      <c r="B5" s="13" t="s">
        <v>6</v>
      </c>
      <c r="C5" s="13" t="s">
        <v>7</v>
      </c>
      <c r="D5" s="13" t="s">
        <v>8</v>
      </c>
      <c r="E5" s="13" t="s">
        <v>9</v>
      </c>
      <c r="F5" s="13" t="s">
        <v>10</v>
      </c>
      <c r="G5" s="13" t="s">
        <v>11</v>
      </c>
      <c r="H5" s="13" t="s">
        <v>12</v>
      </c>
      <c r="I5" s="13"/>
      <c r="J5" s="13"/>
      <c r="K5" s="12"/>
      <c r="L5" s="13"/>
      <c r="M5" s="14"/>
    </row>
    <row r="6" spans="1:14" s="8" customFormat="1" ht="12.75" customHeight="1" thickBot="1" x14ac:dyDescent="0.3">
      <c r="B6" s="11" t="s">
        <v>48</v>
      </c>
      <c r="C6" s="11" t="s">
        <v>48</v>
      </c>
      <c r="D6" s="11" t="s">
        <v>48</v>
      </c>
      <c r="E6" s="11" t="s">
        <v>48</v>
      </c>
      <c r="F6" s="11" t="s">
        <v>48</v>
      </c>
      <c r="G6" s="11" t="s">
        <v>48</v>
      </c>
      <c r="H6" s="11" t="s">
        <v>48</v>
      </c>
      <c r="I6" s="13"/>
      <c r="J6" s="13"/>
      <c r="K6" s="12"/>
      <c r="L6" s="13"/>
      <c r="M6" s="14"/>
    </row>
    <row r="7" spans="1:14" s="8" customFormat="1" ht="12.75" customHeight="1" x14ac:dyDescent="0.25">
      <c r="A7" s="12" t="s">
        <v>14</v>
      </c>
      <c r="B7" s="78">
        <f>'Group Result'!B9</f>
        <v>114.98099999999999</v>
      </c>
      <c r="C7" s="78">
        <f>'Group Result'!C9</f>
        <v>26.2</v>
      </c>
      <c r="D7" s="78">
        <f>'Group Result'!D9</f>
        <v>53.8</v>
      </c>
      <c r="E7" s="78">
        <f>'Group Result'!E9</f>
        <v>-196.4</v>
      </c>
      <c r="F7" s="78">
        <f>'Group Result'!F9</f>
        <v>26.985016139999299</v>
      </c>
      <c r="G7" s="78">
        <f>'Group Result'!G9</f>
        <v>9.7999999999999989</v>
      </c>
      <c r="H7" s="78">
        <f>'Group Result'!H9</f>
        <v>45.1</v>
      </c>
      <c r="I7" s="13"/>
      <c r="J7" s="13"/>
      <c r="K7" s="12"/>
      <c r="L7" s="13"/>
      <c r="M7" s="14"/>
      <c r="N7" s="122"/>
    </row>
    <row r="8" spans="1:14" s="8" customFormat="1" ht="12.75" customHeight="1" x14ac:dyDescent="0.25">
      <c r="A8" s="15" t="s">
        <v>179</v>
      </c>
      <c r="B8" s="19">
        <v>-87.176000000000002</v>
      </c>
      <c r="C8" s="19">
        <v>-0.99</v>
      </c>
      <c r="D8" s="19">
        <v>-4.7</v>
      </c>
      <c r="E8" s="19">
        <v>-5.5000000000000009</v>
      </c>
      <c r="F8" s="19">
        <v>-4.9850161399992992</v>
      </c>
      <c r="G8" s="19">
        <v>-4.1999999999999993</v>
      </c>
      <c r="H8" s="19">
        <v>-48.4</v>
      </c>
      <c r="I8" s="13"/>
      <c r="J8" s="13"/>
      <c r="K8" s="12"/>
      <c r="L8" s="13"/>
      <c r="M8" s="14"/>
      <c r="N8" s="38"/>
    </row>
    <row r="9" spans="1:14" s="8" customFormat="1" ht="12.75" customHeight="1" x14ac:dyDescent="0.25">
      <c r="A9" s="123" t="s">
        <v>180</v>
      </c>
      <c r="B9" s="78">
        <f>'Group Result'!B10</f>
        <v>27.805</v>
      </c>
      <c r="C9" s="78">
        <f>'Group Result'!C10</f>
        <v>25.195</v>
      </c>
      <c r="D9" s="78">
        <f>'Group Result'!D10</f>
        <v>49.099999999999994</v>
      </c>
      <c r="E9" s="78">
        <f>'Group Result'!E10</f>
        <v>-201.9</v>
      </c>
      <c r="F9" s="78">
        <f>'Group Result'!F10</f>
        <v>22</v>
      </c>
      <c r="G9" s="78">
        <f>'Group Result'!G10</f>
        <v>5.6</v>
      </c>
      <c r="H9" s="78">
        <f>'Group Result'!H10</f>
        <v>-3.3</v>
      </c>
      <c r="N9" s="38"/>
    </row>
    <row r="10" spans="1:14" s="8" customFormat="1" ht="12.75" customHeight="1" x14ac:dyDescent="0.25">
      <c r="A10" s="12"/>
      <c r="B10" s="19"/>
      <c r="C10" s="19"/>
      <c r="D10" s="19"/>
      <c r="E10" s="19"/>
      <c r="F10" s="13"/>
      <c r="G10" s="13"/>
      <c r="H10" s="13"/>
      <c r="N10" s="38"/>
    </row>
    <row r="11" spans="1:14" s="8" customFormat="1" ht="12.75" customHeight="1" x14ac:dyDescent="0.25">
      <c r="A11" s="12" t="s">
        <v>181</v>
      </c>
      <c r="B11" s="19"/>
      <c r="C11" s="19"/>
      <c r="D11" s="19"/>
      <c r="E11" s="19"/>
      <c r="F11" s="13"/>
      <c r="G11" s="13"/>
      <c r="H11" s="13"/>
      <c r="N11" s="38"/>
    </row>
    <row r="12" spans="1:14" s="8" customFormat="1" ht="12.75" customHeight="1" x14ac:dyDescent="0.25">
      <c r="A12" s="15" t="s">
        <v>182</v>
      </c>
      <c r="B12" s="19">
        <v>18.286999999999999</v>
      </c>
      <c r="C12" s="19">
        <v>24.192</v>
      </c>
      <c r="D12" s="19">
        <v>27.8</v>
      </c>
      <c r="E12" s="19">
        <v>31.3</v>
      </c>
      <c r="F12" s="19">
        <v>42</v>
      </c>
      <c r="G12" s="8">
        <v>42.6</v>
      </c>
      <c r="H12" s="8">
        <v>40.799999999999997</v>
      </c>
      <c r="N12" s="38"/>
    </row>
    <row r="13" spans="1:14" s="8" customFormat="1" ht="12.75" customHeight="1" x14ac:dyDescent="0.25">
      <c r="A13" s="15" t="s">
        <v>183</v>
      </c>
      <c r="B13" s="19">
        <v>-4.8579999999999997</v>
      </c>
      <c r="C13" s="19">
        <v>-4.9000000000000004</v>
      </c>
      <c r="D13" s="19">
        <v>-7.6</v>
      </c>
      <c r="E13" s="19">
        <v>-7.6</v>
      </c>
      <c r="F13" s="19">
        <v>-9.5</v>
      </c>
      <c r="G13" s="19">
        <v>-9.6</v>
      </c>
      <c r="H13" s="19">
        <v>-9.3000000000000007</v>
      </c>
      <c r="N13" s="38"/>
    </row>
    <row r="14" spans="1:14" s="8" customFormat="1" ht="12.75" customHeight="1" x14ac:dyDescent="0.25">
      <c r="A14" s="15" t="s">
        <v>184</v>
      </c>
      <c r="B14" s="19">
        <v>4.2470000000000008</v>
      </c>
      <c r="C14" s="19">
        <v>15.4</v>
      </c>
      <c r="D14" s="19">
        <v>21.8</v>
      </c>
      <c r="E14" s="19">
        <v>28.4</v>
      </c>
      <c r="F14" s="19">
        <v>47.2</v>
      </c>
      <c r="G14" s="19">
        <v>48.9</v>
      </c>
      <c r="H14" s="19">
        <v>57.6</v>
      </c>
      <c r="N14" s="38"/>
    </row>
    <row r="15" spans="1:14" s="8" customFormat="1" ht="12.75" customHeight="1" x14ac:dyDescent="0.25">
      <c r="A15" s="15" t="s">
        <v>185</v>
      </c>
      <c r="B15" s="19">
        <v>0</v>
      </c>
      <c r="C15" s="19">
        <v>0</v>
      </c>
      <c r="D15" s="19">
        <v>-59.2</v>
      </c>
      <c r="E15" s="19">
        <v>0.4</v>
      </c>
      <c r="F15" s="19">
        <v>0</v>
      </c>
      <c r="G15" s="19">
        <v>0</v>
      </c>
      <c r="H15" s="19">
        <v>0</v>
      </c>
      <c r="N15" s="38"/>
    </row>
    <row r="16" spans="1:14" s="8" customFormat="1" ht="12.75" customHeight="1" x14ac:dyDescent="0.25">
      <c r="A16" s="15" t="s">
        <v>186</v>
      </c>
      <c r="B16" s="19">
        <v>0</v>
      </c>
      <c r="C16" s="19">
        <v>0</v>
      </c>
      <c r="D16" s="19">
        <v>22</v>
      </c>
      <c r="E16" s="19">
        <v>2.2999999999999998</v>
      </c>
      <c r="F16" s="19">
        <v>5</v>
      </c>
      <c r="G16" s="19">
        <v>-3</v>
      </c>
      <c r="H16" s="19">
        <v>0</v>
      </c>
      <c r="N16" s="38"/>
    </row>
    <row r="17" spans="1:14" s="8" customFormat="1" ht="12.75" customHeight="1" x14ac:dyDescent="0.25">
      <c r="A17" s="15" t="s">
        <v>187</v>
      </c>
      <c r="B17" s="19">
        <v>5.1980000000000004</v>
      </c>
      <c r="C17" s="19">
        <v>6.2</v>
      </c>
      <c r="D17" s="19">
        <v>6.4</v>
      </c>
      <c r="E17" s="19">
        <v>6.2</v>
      </c>
      <c r="F17" s="19">
        <v>7.5</v>
      </c>
      <c r="G17" s="19">
        <v>1.5</v>
      </c>
      <c r="H17" s="19">
        <v>0</v>
      </c>
      <c r="N17" s="38"/>
    </row>
    <row r="18" spans="1:14" s="8" customFormat="1" ht="12.75" customHeight="1" x14ac:dyDescent="0.25">
      <c r="A18" s="15" t="s">
        <v>188</v>
      </c>
      <c r="B18" s="19">
        <v>0</v>
      </c>
      <c r="C18" s="19">
        <v>0</v>
      </c>
      <c r="D18" s="19">
        <v>0</v>
      </c>
      <c r="E18" s="19">
        <v>0</v>
      </c>
      <c r="F18" s="19">
        <v>0</v>
      </c>
      <c r="G18" s="19">
        <v>11.3</v>
      </c>
      <c r="H18" s="19">
        <v>8.6999999999999993</v>
      </c>
      <c r="N18" s="38"/>
    </row>
    <row r="19" spans="1:14" s="8" customFormat="1" ht="12.75" customHeight="1" x14ac:dyDescent="0.25">
      <c r="A19" s="15" t="s">
        <v>189</v>
      </c>
      <c r="B19" s="19">
        <v>2.677</v>
      </c>
      <c r="C19" s="19">
        <v>0.2</v>
      </c>
      <c r="D19" s="19">
        <v>0</v>
      </c>
      <c r="E19" s="19">
        <v>0</v>
      </c>
      <c r="F19" s="19">
        <v>0</v>
      </c>
      <c r="G19" s="19">
        <v>0</v>
      </c>
      <c r="H19" s="19">
        <v>0</v>
      </c>
      <c r="N19" s="38"/>
    </row>
    <row r="20" spans="1:14" s="8" customFormat="1" ht="12.75" customHeight="1" x14ac:dyDescent="0.25">
      <c r="A20" s="15" t="s">
        <v>190</v>
      </c>
      <c r="B20" s="19">
        <v>4.4009999999999998</v>
      </c>
      <c r="C20" s="19">
        <v>2</v>
      </c>
      <c r="D20" s="19">
        <v>0</v>
      </c>
      <c r="E20" s="19">
        <v>0</v>
      </c>
      <c r="F20" s="19">
        <v>0</v>
      </c>
      <c r="G20" s="19">
        <v>0</v>
      </c>
      <c r="H20" s="19">
        <v>0</v>
      </c>
      <c r="N20" s="38"/>
    </row>
    <row r="21" spans="1:14" s="8" customFormat="1" ht="12.75" customHeight="1" x14ac:dyDescent="0.25">
      <c r="A21" s="15" t="s">
        <v>191</v>
      </c>
      <c r="B21" s="19">
        <v>0</v>
      </c>
      <c r="C21" s="19">
        <v>4.3</v>
      </c>
      <c r="D21" s="19">
        <v>0</v>
      </c>
      <c r="E21" s="19">
        <v>199.9</v>
      </c>
      <c r="F21" s="19">
        <v>0</v>
      </c>
      <c r="G21" s="19">
        <v>0</v>
      </c>
      <c r="H21" s="19">
        <v>0</v>
      </c>
      <c r="N21" s="38"/>
    </row>
    <row r="22" spans="1:14" s="8" customFormat="1" ht="12.75" customHeight="1" x14ac:dyDescent="0.25">
      <c r="A22" s="15" t="s">
        <v>192</v>
      </c>
      <c r="B22" s="19">
        <v>1.5109999999999999</v>
      </c>
      <c r="C22" s="19">
        <v>0</v>
      </c>
      <c r="D22" s="19">
        <v>0</v>
      </c>
      <c r="E22" s="19">
        <v>28.2</v>
      </c>
      <c r="F22" s="19">
        <v>27.5</v>
      </c>
      <c r="G22" s="19">
        <v>42.6</v>
      </c>
      <c r="H22" s="19">
        <v>17.899999999999999</v>
      </c>
      <c r="N22" s="38"/>
    </row>
    <row r="23" spans="1:14" s="8" customFormat="1" ht="12.75" customHeight="1" x14ac:dyDescent="0.25">
      <c r="A23" s="15" t="s">
        <v>193</v>
      </c>
      <c r="B23" s="19">
        <v>3.1869999999999998</v>
      </c>
      <c r="C23" s="19">
        <v>1.3</v>
      </c>
      <c r="D23" s="19">
        <v>0</v>
      </c>
      <c r="E23" s="19">
        <v>0</v>
      </c>
      <c r="F23" s="19">
        <v>0</v>
      </c>
      <c r="G23" s="19">
        <v>0</v>
      </c>
      <c r="H23" s="19">
        <v>0</v>
      </c>
      <c r="N23" s="38"/>
    </row>
    <row r="24" spans="1:14" s="8" customFormat="1" ht="12.75" customHeight="1" x14ac:dyDescent="0.25">
      <c r="A24" s="15" t="s">
        <v>194</v>
      </c>
      <c r="B24" s="19">
        <v>0</v>
      </c>
      <c r="C24" s="19">
        <v>0</v>
      </c>
      <c r="D24" s="19">
        <v>0</v>
      </c>
      <c r="E24" s="19">
        <v>5</v>
      </c>
      <c r="F24" s="19">
        <v>-4.9000000000000004</v>
      </c>
      <c r="G24" s="19">
        <v>0.5</v>
      </c>
      <c r="H24" s="19">
        <v>10.199999999999999</v>
      </c>
      <c r="N24" s="38"/>
    </row>
    <row r="25" spans="1:14" s="8" customFormat="1" ht="12.75" customHeight="1" x14ac:dyDescent="0.25">
      <c r="A25" s="15" t="s">
        <v>82</v>
      </c>
      <c r="B25" s="19">
        <v>0.42199999999999999</v>
      </c>
      <c r="C25" s="19">
        <v>-0.5</v>
      </c>
      <c r="D25" s="19">
        <v>4</v>
      </c>
      <c r="E25" s="19">
        <v>4.3</v>
      </c>
      <c r="F25" s="19">
        <v>0</v>
      </c>
      <c r="G25" s="19">
        <v>0</v>
      </c>
      <c r="H25" s="19">
        <v>0</v>
      </c>
      <c r="N25" s="38"/>
    </row>
    <row r="26" spans="1:14" s="8" customFormat="1" ht="12.75" customHeight="1" x14ac:dyDescent="0.25">
      <c r="A26" s="15" t="s">
        <v>195</v>
      </c>
      <c r="B26" s="19">
        <v>-6.4009999999999998</v>
      </c>
      <c r="C26" s="19">
        <v>-5.9</v>
      </c>
      <c r="D26" s="19">
        <v>-3.7</v>
      </c>
      <c r="E26" s="19">
        <v>-21</v>
      </c>
      <c r="F26" s="19">
        <v>-22.900000000000002</v>
      </c>
      <c r="G26" s="19">
        <v>-30.3</v>
      </c>
      <c r="H26" s="19">
        <v>-28.2</v>
      </c>
      <c r="N26" s="38"/>
    </row>
    <row r="27" spans="1:14" s="8" customFormat="1" ht="12.75" customHeight="1" x14ac:dyDescent="0.25">
      <c r="A27" s="12" t="s">
        <v>196</v>
      </c>
      <c r="B27" s="124">
        <f t="shared" ref="B27:H27" si="0">SUM(B9:B26)</f>
        <v>56.475999999999999</v>
      </c>
      <c r="C27" s="124">
        <f t="shared" si="0"/>
        <v>67.486999999999995</v>
      </c>
      <c r="D27" s="124">
        <f t="shared" si="0"/>
        <v>60.59999999999998</v>
      </c>
      <c r="E27" s="124">
        <f t="shared" si="0"/>
        <v>75.500000000000028</v>
      </c>
      <c r="F27" s="124">
        <f t="shared" si="0"/>
        <v>113.89999999999998</v>
      </c>
      <c r="G27" s="124">
        <f t="shared" si="0"/>
        <v>110.10000000000001</v>
      </c>
      <c r="H27" s="124">
        <f t="shared" si="0"/>
        <v>94.4</v>
      </c>
      <c r="N27" s="38"/>
    </row>
    <row r="28" spans="1:14" s="8" customFormat="1" ht="12.75" customHeight="1" x14ac:dyDescent="0.25">
      <c r="A28" s="15" t="s">
        <v>197</v>
      </c>
      <c r="B28" s="19">
        <v>4.8780000000000001</v>
      </c>
      <c r="C28" s="19">
        <v>-0.09</v>
      </c>
      <c r="D28" s="19">
        <v>5.3</v>
      </c>
      <c r="E28" s="19">
        <v>6.3999999999999995</v>
      </c>
      <c r="F28" s="19">
        <v>5.7</v>
      </c>
      <c r="G28" s="19">
        <v>4.8</v>
      </c>
      <c r="H28" s="19">
        <v>4.2</v>
      </c>
      <c r="N28" s="38"/>
    </row>
    <row r="29" spans="1:14" s="8" customFormat="1" ht="12.75" customHeight="1" thickBot="1" x14ac:dyDescent="0.3">
      <c r="A29" s="12" t="s">
        <v>57</v>
      </c>
      <c r="B29" s="125">
        <f t="shared" ref="B29:E29" si="1">SUM(B27:B28)</f>
        <v>61.353999999999999</v>
      </c>
      <c r="C29" s="125">
        <f>SUM(C27:C28)+0.1</f>
        <v>67.496999999999986</v>
      </c>
      <c r="D29" s="125">
        <f t="shared" si="1"/>
        <v>65.899999999999977</v>
      </c>
      <c r="E29" s="125">
        <f t="shared" si="1"/>
        <v>81.900000000000034</v>
      </c>
      <c r="F29" s="125">
        <f t="shared" ref="F29:H29" si="2">SUM(F27:F28)</f>
        <v>119.59999999999998</v>
      </c>
      <c r="G29" s="125">
        <f t="shared" si="2"/>
        <v>114.9</v>
      </c>
      <c r="H29" s="125">
        <f t="shared" si="2"/>
        <v>98.600000000000009</v>
      </c>
      <c r="N29" s="38"/>
    </row>
  </sheetData>
  <mergeCells count="1">
    <mergeCell ref="A4:K4"/>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B3ED9-A011-46EE-AC24-E05DDCAB9A5D}">
  <sheetPr>
    <pageSetUpPr fitToPage="1"/>
  </sheetPr>
  <dimension ref="A1:S51"/>
  <sheetViews>
    <sheetView showGridLines="0" zoomScaleNormal="100" zoomScaleSheetLayoutView="100" workbookViewId="0"/>
  </sheetViews>
  <sheetFormatPr defaultColWidth="9.140625" defaultRowHeight="12.75" customHeight="1" x14ac:dyDescent="0.2"/>
  <cols>
    <col min="1" max="1" width="78.7109375" style="6" customWidth="1"/>
    <col min="2" max="8" width="9.5703125" style="6" customWidth="1"/>
    <col min="9" max="9" width="2.5703125" style="6" customWidth="1"/>
    <col min="10" max="11" width="9.5703125" style="6" customWidth="1"/>
    <col min="12" max="12" width="6.140625" style="6" customWidth="1"/>
    <col min="13" max="16384" width="9.140625" style="6"/>
  </cols>
  <sheetData>
    <row r="1" spans="1:19" s="3" customFormat="1" ht="27.95" customHeight="1" x14ac:dyDescent="0.25">
      <c r="A1" s="1" t="s">
        <v>0</v>
      </c>
      <c r="B1" s="2"/>
      <c r="C1" s="2"/>
      <c r="D1" s="2"/>
      <c r="E1" s="2"/>
      <c r="F1" s="2"/>
      <c r="G1" s="2"/>
      <c r="H1" s="2"/>
      <c r="I1" s="2"/>
      <c r="J1" s="2"/>
      <c r="K1" s="2"/>
      <c r="L1" s="2"/>
      <c r="R1"/>
    </row>
    <row r="2" spans="1:19" s="10" customFormat="1" ht="12.75" customHeight="1" x14ac:dyDescent="0.2"/>
    <row r="3" spans="1:19" s="3" customFormat="1" ht="18" customHeight="1" x14ac:dyDescent="0.25">
      <c r="A3" s="4" t="s">
        <v>198</v>
      </c>
      <c r="B3" s="5"/>
      <c r="C3" s="5"/>
      <c r="D3" s="5"/>
      <c r="E3" s="5"/>
      <c r="F3" s="5"/>
      <c r="G3" s="5"/>
      <c r="H3" s="5"/>
      <c r="I3" s="5"/>
      <c r="J3" s="5"/>
      <c r="K3" s="5"/>
      <c r="L3" s="5"/>
    </row>
    <row r="4" spans="1:19" s="8" customFormat="1" ht="38.25" customHeight="1" x14ac:dyDescent="0.25">
      <c r="A4" s="184" t="s">
        <v>199</v>
      </c>
      <c r="B4" s="184"/>
      <c r="C4" s="184"/>
      <c r="D4" s="184"/>
      <c r="E4" s="184"/>
      <c r="F4" s="184"/>
      <c r="G4" s="184"/>
      <c r="H4" s="184"/>
      <c r="I4" s="184"/>
      <c r="J4" s="184"/>
      <c r="K4" s="184"/>
    </row>
    <row r="5" spans="1:19" s="8" customFormat="1" ht="12.75" customHeight="1" x14ac:dyDescent="0.25">
      <c r="B5" s="13" t="s">
        <v>6</v>
      </c>
      <c r="C5" s="13" t="s">
        <v>7</v>
      </c>
      <c r="D5" s="13" t="s">
        <v>8</v>
      </c>
      <c r="E5" s="13" t="s">
        <v>9</v>
      </c>
      <c r="F5" s="13" t="s">
        <v>10</v>
      </c>
      <c r="G5" s="13" t="s">
        <v>11</v>
      </c>
      <c r="H5" s="13" t="s">
        <v>12</v>
      </c>
      <c r="I5" s="126"/>
      <c r="J5" s="126"/>
      <c r="K5" s="12"/>
      <c r="L5" s="126"/>
    </row>
    <row r="6" spans="1:19" s="8" customFormat="1" ht="12.75" customHeight="1" thickBot="1" x14ac:dyDescent="0.3">
      <c r="B6" s="11" t="s">
        <v>48</v>
      </c>
      <c r="C6" s="11" t="s">
        <v>48</v>
      </c>
      <c r="D6" s="11" t="s">
        <v>48</v>
      </c>
      <c r="E6" s="11" t="s">
        <v>48</v>
      </c>
      <c r="F6" s="11" t="s">
        <v>48</v>
      </c>
      <c r="G6" s="11" t="s">
        <v>48</v>
      </c>
      <c r="H6" s="11" t="s">
        <v>48</v>
      </c>
      <c r="I6" s="13"/>
      <c r="J6" s="13"/>
      <c r="K6" s="12"/>
      <c r="L6" s="13"/>
    </row>
    <row r="7" spans="1:19" s="8" customFormat="1" ht="12.75" customHeight="1" x14ac:dyDescent="0.25">
      <c r="A7" s="12" t="s">
        <v>200</v>
      </c>
    </row>
    <row r="8" spans="1:19" s="8" customFormat="1" ht="12.75" customHeight="1" x14ac:dyDescent="0.25">
      <c r="A8" s="15" t="s">
        <v>201</v>
      </c>
      <c r="B8" s="127">
        <v>65.269000000000005</v>
      </c>
      <c r="C8" s="127">
        <v>370.99</v>
      </c>
      <c r="D8" s="128">
        <v>895.96</v>
      </c>
      <c r="E8" s="128">
        <v>666.1</v>
      </c>
      <c r="F8" s="128">
        <v>640.5</v>
      </c>
      <c r="G8" s="128">
        <v>513.70000000000005</v>
      </c>
      <c r="H8" s="129">
        <v>509.2</v>
      </c>
      <c r="O8" s="101"/>
      <c r="P8" s="101"/>
    </row>
    <row r="9" spans="1:19" s="8" customFormat="1" ht="12.75" customHeight="1" x14ac:dyDescent="0.25">
      <c r="A9" s="15" t="s">
        <v>202</v>
      </c>
      <c r="B9" s="127">
        <v>0</v>
      </c>
      <c r="C9" s="127">
        <v>0</v>
      </c>
      <c r="D9" s="128">
        <v>100</v>
      </c>
      <c r="E9" s="128">
        <v>0</v>
      </c>
      <c r="F9" s="128">
        <v>0</v>
      </c>
      <c r="G9" s="128">
        <v>0</v>
      </c>
      <c r="H9" s="128">
        <v>0</v>
      </c>
      <c r="O9" s="101"/>
      <c r="P9" s="101"/>
    </row>
    <row r="10" spans="1:19" s="8" customFormat="1" ht="12.75" customHeight="1" x14ac:dyDescent="0.25">
      <c r="A10" s="15" t="s">
        <v>203</v>
      </c>
      <c r="B10" s="127">
        <v>342.41199999999998</v>
      </c>
      <c r="C10" s="127">
        <v>547.37400000000002</v>
      </c>
      <c r="D10" s="128">
        <v>603.24400000000003</v>
      </c>
      <c r="E10" s="128">
        <v>630.4</v>
      </c>
      <c r="F10" s="128">
        <v>617.4</v>
      </c>
      <c r="G10" s="128">
        <v>579.19999999999993</v>
      </c>
      <c r="H10" s="129">
        <v>278.8</v>
      </c>
      <c r="O10" s="101"/>
      <c r="P10" s="101"/>
    </row>
    <row r="11" spans="1:19" s="8" customFormat="1" ht="12.75" customHeight="1" x14ac:dyDescent="0.25">
      <c r="A11" s="15" t="s">
        <v>204</v>
      </c>
      <c r="B11" s="127">
        <v>800</v>
      </c>
      <c r="C11" s="127">
        <v>0</v>
      </c>
      <c r="D11" s="128">
        <v>0</v>
      </c>
      <c r="E11" s="128">
        <v>0</v>
      </c>
      <c r="F11" s="128">
        <v>0</v>
      </c>
      <c r="G11" s="128">
        <v>0</v>
      </c>
      <c r="H11" s="128">
        <v>0</v>
      </c>
      <c r="O11" s="101"/>
      <c r="P11" s="101"/>
    </row>
    <row r="12" spans="1:19" s="8" customFormat="1" ht="12.75" customHeight="1" x14ac:dyDescent="0.25">
      <c r="A12" s="15" t="s">
        <v>205</v>
      </c>
      <c r="B12" s="127">
        <v>90.921177</v>
      </c>
      <c r="C12" s="127">
        <v>147.46117699999999</v>
      </c>
      <c r="D12" s="128">
        <v>18.700177</v>
      </c>
      <c r="E12" s="128">
        <v>274.65300000000002</v>
      </c>
      <c r="F12" s="128">
        <v>264.3</v>
      </c>
      <c r="G12" s="128">
        <v>283.85300000000007</v>
      </c>
      <c r="H12" s="129">
        <v>292.89999999999998</v>
      </c>
      <c r="O12" s="101"/>
      <c r="P12" s="101"/>
    </row>
    <row r="13" spans="1:19" s="8" customFormat="1" ht="12.75" customHeight="1" x14ac:dyDescent="0.25">
      <c r="A13" s="15" t="s">
        <v>206</v>
      </c>
      <c r="B13" s="127">
        <v>47.749000000000002</v>
      </c>
      <c r="C13" s="127">
        <v>23.574000000000002</v>
      </c>
      <c r="D13" s="128">
        <v>5.6929999999999996</v>
      </c>
      <c r="E13" s="128">
        <v>0.7</v>
      </c>
      <c r="F13" s="128">
        <f>63.5-7.4</f>
        <v>56.1</v>
      </c>
      <c r="G13" s="128">
        <v>43.2</v>
      </c>
      <c r="H13" s="129">
        <v>72.2</v>
      </c>
      <c r="O13" s="101"/>
      <c r="P13" s="101"/>
    </row>
    <row r="14" spans="1:19" s="8" customFormat="1" ht="12.75" customHeight="1" x14ac:dyDescent="0.25">
      <c r="A14" s="15" t="s">
        <v>207</v>
      </c>
      <c r="B14" s="127">
        <v>12.209999999999999</v>
      </c>
      <c r="C14" s="127">
        <v>17.259</v>
      </c>
      <c r="D14" s="128">
        <v>12.977</v>
      </c>
      <c r="E14" s="128">
        <v>20.8</v>
      </c>
      <c r="F14" s="128">
        <v>26.2</v>
      </c>
      <c r="G14" s="128">
        <v>28</v>
      </c>
      <c r="H14" s="129">
        <v>26</v>
      </c>
      <c r="M14" s="38"/>
      <c r="N14" s="38"/>
      <c r="O14" s="38"/>
      <c r="P14" s="38"/>
      <c r="Q14" s="38"/>
      <c r="R14" s="38"/>
      <c r="S14" s="38"/>
    </row>
    <row r="15" spans="1:19" s="8" customFormat="1" ht="12.75" customHeight="1" x14ac:dyDescent="0.25">
      <c r="A15" s="15" t="s">
        <v>208</v>
      </c>
      <c r="B15" s="127">
        <v>0</v>
      </c>
      <c r="C15" s="127">
        <v>0</v>
      </c>
      <c r="D15" s="128">
        <v>0</v>
      </c>
      <c r="E15" s="128">
        <v>17.2</v>
      </c>
      <c r="F15" s="128">
        <v>20.9</v>
      </c>
      <c r="G15" s="128">
        <v>20.100000000000001</v>
      </c>
      <c r="H15" s="130">
        <v>20.6</v>
      </c>
      <c r="O15" s="101"/>
      <c r="P15" s="101"/>
      <c r="R15" s="38"/>
    </row>
    <row r="16" spans="1:19" s="8" customFormat="1" ht="12.75" customHeight="1" x14ac:dyDescent="0.25">
      <c r="A16" s="15" t="s">
        <v>209</v>
      </c>
      <c r="B16" s="127">
        <v>16.398</v>
      </c>
      <c r="C16" s="127">
        <v>12.946</v>
      </c>
      <c r="D16" s="128">
        <v>12.144</v>
      </c>
      <c r="E16" s="128">
        <v>95.1</v>
      </c>
      <c r="F16" s="128">
        <v>89.9</v>
      </c>
      <c r="G16" s="128">
        <v>88.5</v>
      </c>
      <c r="H16" s="130">
        <v>59.6</v>
      </c>
      <c r="O16" s="38"/>
      <c r="P16" s="101"/>
      <c r="R16" s="131"/>
    </row>
    <row r="17" spans="1:19" s="8" customFormat="1" ht="12.75" customHeight="1" x14ac:dyDescent="0.25">
      <c r="A17" s="15" t="s">
        <v>210</v>
      </c>
      <c r="B17" s="127">
        <v>115.9</v>
      </c>
      <c r="C17" s="127">
        <v>134.44300000000001</v>
      </c>
      <c r="D17" s="128">
        <v>124.03</v>
      </c>
      <c r="E17" s="128">
        <v>145.80000000000001</v>
      </c>
      <c r="F17" s="128">
        <v>220.6</v>
      </c>
      <c r="G17" s="128">
        <v>208.1</v>
      </c>
      <c r="H17" s="130">
        <v>186.7</v>
      </c>
      <c r="O17" s="38"/>
      <c r="P17" s="101"/>
    </row>
    <row r="18" spans="1:19" s="8" customFormat="1" ht="12.75" customHeight="1" x14ac:dyDescent="0.25">
      <c r="A18" s="15" t="s">
        <v>211</v>
      </c>
      <c r="B18" s="127">
        <v>0</v>
      </c>
      <c r="C18" s="127">
        <v>0</v>
      </c>
      <c r="D18" s="128">
        <v>28.68</v>
      </c>
      <c r="E18" s="128">
        <v>0</v>
      </c>
      <c r="F18" s="128">
        <v>0</v>
      </c>
      <c r="G18" s="128">
        <v>0</v>
      </c>
      <c r="H18" s="128">
        <v>0</v>
      </c>
      <c r="O18" s="38"/>
      <c r="P18" s="101"/>
    </row>
    <row r="19" spans="1:19" s="8" customFormat="1" ht="12.75" customHeight="1" x14ac:dyDescent="0.25">
      <c r="A19" s="15" t="s">
        <v>212</v>
      </c>
      <c r="B19" s="127">
        <v>352.18700000000001</v>
      </c>
      <c r="C19" s="127">
        <v>525.05399999999997</v>
      </c>
      <c r="D19" s="127">
        <v>498.625</v>
      </c>
      <c r="E19" s="128">
        <v>891.6</v>
      </c>
      <c r="F19" s="128">
        <v>854.4</v>
      </c>
      <c r="G19" s="128">
        <v>802.2</v>
      </c>
      <c r="H19" s="129">
        <v>765.1</v>
      </c>
      <c r="O19" s="101"/>
      <c r="P19" s="101"/>
    </row>
    <row r="20" spans="1:19" s="8" customFormat="1" ht="12.75" customHeight="1" x14ac:dyDescent="0.25">
      <c r="A20" s="15" t="s">
        <v>213</v>
      </c>
      <c r="B20" s="127">
        <v>937.31600000000003</v>
      </c>
      <c r="C20" s="127">
        <v>1465.404</v>
      </c>
      <c r="D20" s="127">
        <v>1506.2650000000001</v>
      </c>
      <c r="E20" s="128">
        <v>1850.9</v>
      </c>
      <c r="F20" s="128">
        <v>1850.9</v>
      </c>
      <c r="G20" s="128">
        <v>1804.5</v>
      </c>
      <c r="H20" s="130">
        <v>1804.5</v>
      </c>
    </row>
    <row r="21" spans="1:19" s="8" customFormat="1" ht="12.75" customHeight="1" x14ac:dyDescent="0.25">
      <c r="A21" s="15"/>
      <c r="B21" s="132">
        <f t="shared" ref="B21:H21" si="0">SUM(B8:B20)</f>
        <v>2780.362177</v>
      </c>
      <c r="C21" s="132">
        <f t="shared" si="0"/>
        <v>3244.505177</v>
      </c>
      <c r="D21" s="132">
        <f t="shared" si="0"/>
        <v>3806.3181770000001</v>
      </c>
      <c r="E21" s="133">
        <f t="shared" si="0"/>
        <v>4593.2530000000006</v>
      </c>
      <c r="F21" s="133">
        <f t="shared" si="0"/>
        <v>4641.2000000000007</v>
      </c>
      <c r="G21" s="133">
        <f t="shared" si="0"/>
        <v>4371.3530000000001</v>
      </c>
      <c r="H21" s="133">
        <f t="shared" si="0"/>
        <v>4015.6</v>
      </c>
    </row>
    <row r="22" spans="1:19" s="8" customFormat="1" ht="12.75" customHeight="1" x14ac:dyDescent="0.25">
      <c r="A22" s="15" t="s">
        <v>214</v>
      </c>
      <c r="B22" s="127">
        <v>0</v>
      </c>
      <c r="C22" s="127">
        <v>0</v>
      </c>
      <c r="D22" s="127">
        <v>0</v>
      </c>
      <c r="E22" s="128">
        <v>0</v>
      </c>
      <c r="F22" s="128">
        <v>2.8</v>
      </c>
      <c r="G22" s="128">
        <v>76.599999999999994</v>
      </c>
      <c r="H22" s="128">
        <v>28.6</v>
      </c>
    </row>
    <row r="23" spans="1:19" s="8" customFormat="1" ht="12.75" customHeight="1" thickBot="1" x14ac:dyDescent="0.3">
      <c r="A23" s="12" t="s">
        <v>215</v>
      </c>
      <c r="B23" s="134">
        <f t="shared" ref="B23:H23" si="1">SUM(B21:B22)</f>
        <v>2780.362177</v>
      </c>
      <c r="C23" s="134">
        <f t="shared" si="1"/>
        <v>3244.505177</v>
      </c>
      <c r="D23" s="134">
        <f t="shared" si="1"/>
        <v>3806.3181770000001</v>
      </c>
      <c r="E23" s="135">
        <f t="shared" si="1"/>
        <v>4593.2530000000006</v>
      </c>
      <c r="F23" s="135">
        <f t="shared" si="1"/>
        <v>4644.0000000000009</v>
      </c>
      <c r="G23" s="135">
        <f t="shared" si="1"/>
        <v>4447.9530000000004</v>
      </c>
      <c r="H23" s="135">
        <f t="shared" si="1"/>
        <v>4044.2</v>
      </c>
    </row>
    <row r="24" spans="1:19" s="8" customFormat="1" ht="12.75" customHeight="1" x14ac:dyDescent="0.25">
      <c r="A24" s="12" t="s">
        <v>216</v>
      </c>
      <c r="B24" s="128"/>
      <c r="C24" s="128"/>
      <c r="D24" s="128"/>
      <c r="E24" s="128"/>
      <c r="F24" s="128"/>
      <c r="G24" s="128"/>
      <c r="H24" s="128"/>
    </row>
    <row r="25" spans="1:19" s="8" customFormat="1" ht="12.75" customHeight="1" x14ac:dyDescent="0.25">
      <c r="A25" s="15" t="s">
        <v>217</v>
      </c>
      <c r="B25" s="128">
        <v>77.055999999999997</v>
      </c>
      <c r="C25" s="128">
        <v>119.749</v>
      </c>
      <c r="D25" s="128">
        <v>116.075</v>
      </c>
      <c r="E25" s="128">
        <v>366.5</v>
      </c>
      <c r="F25" s="128">
        <v>373.8</v>
      </c>
      <c r="G25" s="128">
        <v>465.09999999999997</v>
      </c>
      <c r="H25" s="128">
        <v>226.2</v>
      </c>
      <c r="M25" s="38"/>
      <c r="N25" s="38"/>
      <c r="O25" s="38"/>
      <c r="P25" s="38"/>
      <c r="Q25" s="38"/>
      <c r="R25" s="38"/>
      <c r="S25" s="38"/>
    </row>
    <row r="26" spans="1:19" s="8" customFormat="1" ht="12.75" customHeight="1" x14ac:dyDescent="0.25">
      <c r="A26" s="15" t="s">
        <v>218</v>
      </c>
      <c r="B26" s="128">
        <v>32.423000000000002</v>
      </c>
      <c r="C26" s="128">
        <v>54.765000000000001</v>
      </c>
      <c r="D26" s="128">
        <v>95.462999999999994</v>
      </c>
      <c r="E26" s="128">
        <f>23.1+40.8</f>
        <v>63.9</v>
      </c>
      <c r="F26" s="128">
        <v>45.3</v>
      </c>
      <c r="G26" s="128">
        <v>34.4</v>
      </c>
      <c r="H26" s="8">
        <v>36.1</v>
      </c>
    </row>
    <row r="27" spans="1:19" s="8" customFormat="1" ht="12.75" customHeight="1" x14ac:dyDescent="0.25">
      <c r="A27" s="15" t="s">
        <v>219</v>
      </c>
      <c r="B27" s="128">
        <v>95.042000000000002</v>
      </c>
      <c r="C27" s="128">
        <v>114.39400000000001</v>
      </c>
      <c r="D27" s="128">
        <v>104.62</v>
      </c>
      <c r="E27" s="128">
        <v>124.9</v>
      </c>
      <c r="F27" s="128">
        <v>199.2</v>
      </c>
      <c r="G27" s="128">
        <v>189.4</v>
      </c>
      <c r="H27" s="8">
        <v>177.6</v>
      </c>
    </row>
    <row r="28" spans="1:19" s="8" customFormat="1" ht="12.75" customHeight="1" x14ac:dyDescent="0.25">
      <c r="A28" s="15" t="s">
        <v>220</v>
      </c>
      <c r="B28" s="128">
        <v>352.43100000000004</v>
      </c>
      <c r="C28" s="128">
        <v>457.85799999999995</v>
      </c>
      <c r="D28" s="128">
        <v>-1.9939999999999998</v>
      </c>
      <c r="E28" s="128">
        <v>648.6</v>
      </c>
      <c r="F28" s="128">
        <v>793.4</v>
      </c>
      <c r="G28" s="128">
        <v>771.3</v>
      </c>
      <c r="H28" s="128">
        <v>781.2</v>
      </c>
    </row>
    <row r="29" spans="1:19" s="8" customFormat="1" ht="12.75" customHeight="1" x14ac:dyDescent="0.25">
      <c r="A29" s="15" t="s">
        <v>221</v>
      </c>
      <c r="B29" s="128">
        <v>487.38600000000002</v>
      </c>
      <c r="C29" s="128">
        <v>733.13800000000003</v>
      </c>
      <c r="D29" s="128">
        <v>729.12800000000004</v>
      </c>
      <c r="E29" s="128">
        <v>893</v>
      </c>
      <c r="F29" s="128">
        <v>749.2</v>
      </c>
      <c r="G29" s="128">
        <v>545.70000000000005</v>
      </c>
      <c r="H29" s="8">
        <v>386.8</v>
      </c>
    </row>
    <row r="30" spans="1:19" s="8" customFormat="1" ht="12.75" customHeight="1" x14ac:dyDescent="0.25">
      <c r="A30" s="15" t="s">
        <v>222</v>
      </c>
      <c r="B30" s="128">
        <v>8.1829999999999998</v>
      </c>
      <c r="C30" s="128">
        <v>27.001000000000001</v>
      </c>
      <c r="D30" s="128">
        <v>0</v>
      </c>
      <c r="E30" s="128">
        <v>3.4</v>
      </c>
      <c r="F30" s="128">
        <v>33.5</v>
      </c>
      <c r="G30" s="128">
        <v>30.940404999999998</v>
      </c>
      <c r="H30" s="129">
        <v>55.4</v>
      </c>
    </row>
    <row r="31" spans="1:19" s="8" customFormat="1" ht="12.75" customHeight="1" x14ac:dyDescent="0.25">
      <c r="A31" s="15"/>
      <c r="B31" s="132">
        <f t="shared" ref="B31:H31" si="2">SUM(B25:B30)</f>
        <v>1052.521</v>
      </c>
      <c r="C31" s="132">
        <f t="shared" si="2"/>
        <v>1506.905</v>
      </c>
      <c r="D31" s="132">
        <f t="shared" si="2"/>
        <v>1043.2919999999999</v>
      </c>
      <c r="E31" s="132">
        <f t="shared" si="2"/>
        <v>2100.3000000000002</v>
      </c>
      <c r="F31" s="133">
        <f t="shared" si="2"/>
        <v>2194.3999999999996</v>
      </c>
      <c r="G31" s="133">
        <f t="shared" si="2"/>
        <v>2036.8404049999999</v>
      </c>
      <c r="H31" s="133">
        <f t="shared" si="2"/>
        <v>1663.3</v>
      </c>
    </row>
    <row r="32" spans="1:19" s="8" customFormat="1" ht="12.75" customHeight="1" x14ac:dyDescent="0.25">
      <c r="A32" s="15" t="s">
        <v>223</v>
      </c>
      <c r="B32" s="127">
        <v>0</v>
      </c>
      <c r="C32" s="127">
        <v>0</v>
      </c>
      <c r="D32" s="127">
        <v>0</v>
      </c>
      <c r="E32" s="127">
        <v>0</v>
      </c>
      <c r="F32" s="128">
        <v>0</v>
      </c>
      <c r="G32" s="128">
        <v>10.199999999999999</v>
      </c>
      <c r="H32" s="128">
        <v>0</v>
      </c>
      <c r="K32" s="131"/>
      <c r="L32" s="136"/>
    </row>
    <row r="33" spans="1:8" s="8" customFormat="1" ht="12.75" customHeight="1" thickBot="1" x14ac:dyDescent="0.3">
      <c r="A33" s="12" t="s">
        <v>224</v>
      </c>
      <c r="B33" s="134">
        <f t="shared" ref="B33:H33" si="3">SUM(B31:B32)</f>
        <v>1052.521</v>
      </c>
      <c r="C33" s="134">
        <f t="shared" si="3"/>
        <v>1506.905</v>
      </c>
      <c r="D33" s="134">
        <f t="shared" si="3"/>
        <v>1043.2919999999999</v>
      </c>
      <c r="E33" s="134">
        <f t="shared" si="3"/>
        <v>2100.3000000000002</v>
      </c>
      <c r="F33" s="135">
        <f t="shared" si="3"/>
        <v>2194.3999999999996</v>
      </c>
      <c r="G33" s="135">
        <f t="shared" si="3"/>
        <v>2047.040405</v>
      </c>
      <c r="H33" s="135">
        <f t="shared" si="3"/>
        <v>1663.3</v>
      </c>
    </row>
    <row r="34" spans="1:8" s="8" customFormat="1" ht="12.75" customHeight="1" thickBot="1" x14ac:dyDescent="0.3">
      <c r="A34" s="12" t="s">
        <v>225</v>
      </c>
      <c r="B34" s="137">
        <f t="shared" ref="B34:H34" si="4">B23-B33</f>
        <v>1727.841177</v>
      </c>
      <c r="C34" s="137">
        <f t="shared" si="4"/>
        <v>1737.600177</v>
      </c>
      <c r="D34" s="137">
        <f t="shared" si="4"/>
        <v>2763.0261770000002</v>
      </c>
      <c r="E34" s="137">
        <f t="shared" si="4"/>
        <v>2492.9530000000004</v>
      </c>
      <c r="F34" s="138">
        <f t="shared" si="4"/>
        <v>2449.6000000000013</v>
      </c>
      <c r="G34" s="138">
        <f t="shared" si="4"/>
        <v>2400.9125950000007</v>
      </c>
      <c r="H34" s="138">
        <f t="shared" si="4"/>
        <v>2380.8999999999996</v>
      </c>
    </row>
    <row r="35" spans="1:8" s="8" customFormat="1" ht="12.75" customHeight="1" thickTop="1" x14ac:dyDescent="0.25">
      <c r="A35" s="12" t="s">
        <v>226</v>
      </c>
      <c r="B35" s="128"/>
      <c r="C35" s="128"/>
      <c r="D35" s="128"/>
      <c r="E35" s="128"/>
      <c r="F35" s="128"/>
      <c r="G35" s="128"/>
      <c r="H35" s="128"/>
    </row>
    <row r="36" spans="1:8" s="8" customFormat="1" ht="12.75" customHeight="1" x14ac:dyDescent="0.25">
      <c r="A36" s="15" t="s">
        <v>227</v>
      </c>
      <c r="B36" s="128">
        <v>1965.377</v>
      </c>
      <c r="C36" s="128">
        <v>1965.8239590799999</v>
      </c>
      <c r="D36" s="128">
        <v>2996.0010000000002</v>
      </c>
      <c r="E36" s="128">
        <v>2996</v>
      </c>
      <c r="F36" s="128">
        <v>2996</v>
      </c>
      <c r="G36" s="128">
        <v>3013.6</v>
      </c>
      <c r="H36" s="128">
        <v>3027.1</v>
      </c>
    </row>
    <row r="37" spans="1:8" s="8" customFormat="1" ht="12.75" customHeight="1" x14ac:dyDescent="0.25">
      <c r="A37" s="15" t="s">
        <v>228</v>
      </c>
      <c r="B37" s="128">
        <v>52.682000000000002</v>
      </c>
      <c r="C37" s="128">
        <v>91.272000000000006</v>
      </c>
      <c r="D37" s="128">
        <v>2.6309999999999998</v>
      </c>
      <c r="E37" s="128">
        <v>3.8</v>
      </c>
      <c r="F37" s="128">
        <v>5.6</v>
      </c>
      <c r="G37" s="128">
        <v>5</v>
      </c>
      <c r="H37" s="128">
        <v>2.2999999999999998</v>
      </c>
    </row>
    <row r="38" spans="1:8" s="8" customFormat="1" ht="12.75" customHeight="1" x14ac:dyDescent="0.25">
      <c r="A38" s="15" t="s">
        <v>229</v>
      </c>
      <c r="B38" s="128">
        <v>-289.62200000000001</v>
      </c>
      <c r="C38" s="128">
        <v>-319.26900000000001</v>
      </c>
      <c r="D38" s="128">
        <v>-235.35599999999999</v>
      </c>
      <c r="E38" s="128">
        <v>-506.6</v>
      </c>
      <c r="F38" s="128">
        <v>-552</v>
      </c>
      <c r="G38" s="128">
        <v>-617.5</v>
      </c>
      <c r="H38" s="128">
        <v>-648.20000000000005</v>
      </c>
    </row>
    <row r="39" spans="1:8" s="8" customFormat="1" ht="12.75" customHeight="1" x14ac:dyDescent="0.25">
      <c r="A39" s="12" t="s">
        <v>230</v>
      </c>
      <c r="B39" s="139">
        <f t="shared" ref="B39:H39" si="5">SUM(B36:B38)</f>
        <v>1728.4369999999999</v>
      </c>
      <c r="C39" s="139">
        <f t="shared" si="5"/>
        <v>1737.8269590799998</v>
      </c>
      <c r="D39" s="139">
        <f t="shared" si="5"/>
        <v>2763.2759999999998</v>
      </c>
      <c r="E39" s="139">
        <f t="shared" si="5"/>
        <v>2493.2000000000003</v>
      </c>
      <c r="F39" s="139">
        <f t="shared" si="5"/>
        <v>2449.6</v>
      </c>
      <c r="G39" s="139">
        <f t="shared" si="5"/>
        <v>2401.1</v>
      </c>
      <c r="H39" s="139">
        <f t="shared" si="5"/>
        <v>2381.1999999999998</v>
      </c>
    </row>
    <row r="40" spans="1:8" s="8" customFormat="1" ht="12.75" customHeight="1" x14ac:dyDescent="0.25">
      <c r="A40" s="15" t="s">
        <v>231</v>
      </c>
      <c r="B40" s="128">
        <v>-0.59599999999999997</v>
      </c>
      <c r="C40" s="128">
        <v>-0.22900000000000001</v>
      </c>
      <c r="D40" s="128">
        <v>-0.25</v>
      </c>
      <c r="E40" s="128">
        <v>-0.2</v>
      </c>
      <c r="F40" s="128">
        <v>0</v>
      </c>
      <c r="G40" s="128">
        <v>-0.2</v>
      </c>
      <c r="H40" s="128">
        <v>-0.3</v>
      </c>
    </row>
    <row r="41" spans="1:8" s="8" customFormat="1" ht="12.75" customHeight="1" thickBot="1" x14ac:dyDescent="0.3">
      <c r="A41" s="12" t="s">
        <v>232</v>
      </c>
      <c r="B41" s="140">
        <f t="shared" ref="B41:H41" si="6">SUM(B39:B40)</f>
        <v>1727.8409999999999</v>
      </c>
      <c r="C41" s="140">
        <f t="shared" si="6"/>
        <v>1737.5979590799998</v>
      </c>
      <c r="D41" s="140">
        <f t="shared" si="6"/>
        <v>2763.0259999999998</v>
      </c>
      <c r="E41" s="140">
        <f t="shared" si="6"/>
        <v>2493.0000000000005</v>
      </c>
      <c r="F41" s="141">
        <f t="shared" si="6"/>
        <v>2449.6</v>
      </c>
      <c r="G41" s="140">
        <f t="shared" si="6"/>
        <v>2400.9</v>
      </c>
      <c r="H41" s="141">
        <f t="shared" si="6"/>
        <v>2380.8999999999996</v>
      </c>
    </row>
    <row r="42" spans="1:8" ht="12.75" customHeight="1" thickTop="1" x14ac:dyDescent="0.2"/>
    <row r="43" spans="1:8" ht="12.75" customHeight="1" x14ac:dyDescent="0.2">
      <c r="G43" s="142"/>
      <c r="H43" s="142"/>
    </row>
    <row r="44" spans="1:8" ht="12.75" customHeight="1" x14ac:dyDescent="0.2">
      <c r="G44" s="142"/>
      <c r="H44" s="142"/>
    </row>
    <row r="45" spans="1:8" ht="12.75" customHeight="1" x14ac:dyDescent="0.2">
      <c r="H45" s="143"/>
    </row>
    <row r="51" spans="5:5" ht="12.75" customHeight="1" x14ac:dyDescent="0.2">
      <c r="E51" s="144"/>
    </row>
  </sheetData>
  <mergeCells count="1">
    <mergeCell ref="A4:K4"/>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2AFDA-63C7-4601-8B78-3F907889243C}">
  <sheetPr>
    <pageSetUpPr fitToPage="1"/>
  </sheetPr>
  <dimension ref="A1:R48"/>
  <sheetViews>
    <sheetView showGridLines="0" zoomScaleNormal="100" zoomScaleSheetLayoutView="100" workbookViewId="0"/>
  </sheetViews>
  <sheetFormatPr defaultColWidth="9.140625" defaultRowHeight="12.75" customHeight="1" x14ac:dyDescent="0.2"/>
  <cols>
    <col min="1" max="1" width="78.7109375" style="6" customWidth="1"/>
    <col min="2" max="8" width="9.5703125" style="6" customWidth="1"/>
    <col min="9" max="9" width="2.5703125" style="6" customWidth="1"/>
    <col min="10" max="11" width="9.5703125" style="6" customWidth="1"/>
    <col min="12" max="12" width="6.140625" style="6" customWidth="1"/>
    <col min="13" max="16384" width="9.140625" style="6"/>
  </cols>
  <sheetData>
    <row r="1" spans="1:18" s="3" customFormat="1" ht="27.95" customHeight="1" x14ac:dyDescent="0.25">
      <c r="A1" s="1" t="s">
        <v>0</v>
      </c>
      <c r="B1" s="2"/>
      <c r="C1" s="2"/>
      <c r="D1" s="2"/>
      <c r="E1" s="2"/>
      <c r="F1" s="2"/>
      <c r="G1" s="2"/>
      <c r="H1" s="2"/>
      <c r="I1" s="2"/>
      <c r="J1" s="2"/>
      <c r="K1" s="2"/>
      <c r="L1" s="2"/>
      <c r="R1"/>
    </row>
    <row r="2" spans="1:18" s="10" customFormat="1" ht="12.75" customHeight="1" x14ac:dyDescent="0.2"/>
    <row r="3" spans="1:18" s="3" customFormat="1" ht="18" customHeight="1" x14ac:dyDescent="0.25">
      <c r="A3" s="4" t="s">
        <v>233</v>
      </c>
      <c r="B3" s="5"/>
      <c r="C3" s="5"/>
      <c r="D3" s="5"/>
      <c r="E3" s="5"/>
      <c r="F3" s="5"/>
      <c r="G3" s="5"/>
      <c r="H3" s="5"/>
      <c r="I3" s="5"/>
      <c r="J3" s="5"/>
      <c r="K3" s="5"/>
      <c r="L3" s="5"/>
    </row>
    <row r="4" spans="1:18" s="8" customFormat="1" ht="38.25" customHeight="1" x14ac:dyDescent="0.25">
      <c r="A4" s="184" t="s">
        <v>234</v>
      </c>
      <c r="B4" s="184"/>
      <c r="C4" s="184"/>
      <c r="D4" s="184"/>
      <c r="E4" s="184"/>
      <c r="F4" s="184"/>
      <c r="G4" s="184"/>
      <c r="H4" s="184"/>
    </row>
    <row r="5" spans="1:18" s="8" customFormat="1" ht="12.75" customHeight="1" x14ac:dyDescent="0.25">
      <c r="B5" s="13" t="s">
        <v>6</v>
      </c>
      <c r="C5" s="13" t="s">
        <v>7</v>
      </c>
      <c r="D5" s="13" t="s">
        <v>8</v>
      </c>
      <c r="E5" s="13" t="s">
        <v>9</v>
      </c>
      <c r="F5" s="13" t="s">
        <v>10</v>
      </c>
      <c r="G5" s="13" t="s">
        <v>11</v>
      </c>
      <c r="H5" s="13" t="s">
        <v>12</v>
      </c>
      <c r="I5" s="126"/>
      <c r="J5" s="126"/>
      <c r="K5" s="12"/>
      <c r="L5" s="126"/>
    </row>
    <row r="6" spans="1:18" s="8" customFormat="1" ht="12.75" customHeight="1" thickBot="1" x14ac:dyDescent="0.3">
      <c r="B6" s="11" t="s">
        <v>48</v>
      </c>
      <c r="C6" s="11" t="s">
        <v>48</v>
      </c>
      <c r="D6" s="11" t="s">
        <v>48</v>
      </c>
      <c r="E6" s="11" t="s">
        <v>48</v>
      </c>
      <c r="F6" s="11" t="s">
        <v>48</v>
      </c>
      <c r="G6" s="11" t="s">
        <v>48</v>
      </c>
      <c r="H6" s="11" t="s">
        <v>48</v>
      </c>
      <c r="I6" s="13"/>
      <c r="J6" s="13"/>
      <c r="K6" s="12"/>
      <c r="L6" s="13"/>
    </row>
    <row r="7" spans="1:18" s="8" customFormat="1" ht="12.75" customHeight="1" x14ac:dyDescent="0.25">
      <c r="A7" s="12" t="s">
        <v>235</v>
      </c>
    </row>
    <row r="8" spans="1:18" s="8" customFormat="1" ht="12.75" customHeight="1" x14ac:dyDescent="0.25">
      <c r="A8" s="15" t="s">
        <v>236</v>
      </c>
      <c r="B8" s="128">
        <v>600.04300000000001</v>
      </c>
      <c r="C8" s="128">
        <v>722.65899999999999</v>
      </c>
      <c r="D8" s="128">
        <v>678.96400000000006</v>
      </c>
      <c r="E8" s="128">
        <v>727.13599999999985</v>
      </c>
      <c r="F8" s="128">
        <v>1193.3</v>
      </c>
      <c r="G8" s="128">
        <v>1035.3</v>
      </c>
      <c r="H8" s="128">
        <v>970.4</v>
      </c>
      <c r="N8" s="145"/>
    </row>
    <row r="9" spans="1:18" s="8" customFormat="1" ht="12.75" customHeight="1" x14ac:dyDescent="0.25">
      <c r="A9" s="15" t="s">
        <v>237</v>
      </c>
      <c r="B9" s="128">
        <v>0</v>
      </c>
      <c r="C9" s="128">
        <v>0</v>
      </c>
      <c r="D9" s="128">
        <v>0</v>
      </c>
      <c r="E9" s="128">
        <v>80</v>
      </c>
      <c r="F9" s="128">
        <v>0</v>
      </c>
      <c r="G9" s="128">
        <v>0</v>
      </c>
      <c r="H9" s="128">
        <v>0</v>
      </c>
      <c r="N9" s="145"/>
    </row>
    <row r="10" spans="1:18" s="8" customFormat="1" ht="12.75" customHeight="1" x14ac:dyDescent="0.25">
      <c r="A10" s="15" t="s">
        <v>238</v>
      </c>
      <c r="B10" s="128">
        <v>-529.99900000000002</v>
      </c>
      <c r="C10" s="128">
        <v>-594.16899999999998</v>
      </c>
      <c r="D10" s="128">
        <v>-589.12599999999998</v>
      </c>
      <c r="E10" s="128">
        <v>-550.77400000000011</v>
      </c>
      <c r="F10" s="128">
        <v>-1052.5</v>
      </c>
      <c r="G10" s="128">
        <v>-774</v>
      </c>
      <c r="H10" s="128">
        <v>-826.3</v>
      </c>
      <c r="N10" s="145"/>
    </row>
    <row r="11" spans="1:18" s="8" customFormat="1" ht="12.75" customHeight="1" x14ac:dyDescent="0.25">
      <c r="A11" s="15" t="s">
        <v>184</v>
      </c>
      <c r="B11" s="128">
        <v>-7.3689999999999998</v>
      </c>
      <c r="C11" s="128">
        <v>-19.228999999999999</v>
      </c>
      <c r="D11" s="128">
        <v>-27.908000000000001</v>
      </c>
      <c r="E11" s="128">
        <v>-17.991999999999997</v>
      </c>
      <c r="F11" s="128">
        <v>-52.3</v>
      </c>
      <c r="G11" s="128">
        <v>-64.100000000000009</v>
      </c>
      <c r="H11" s="128">
        <v>-66.3</v>
      </c>
      <c r="N11" s="145"/>
    </row>
    <row r="12" spans="1:18" s="8" customFormat="1" ht="12.75" customHeight="1" x14ac:dyDescent="0.25">
      <c r="A12" s="15" t="s">
        <v>239</v>
      </c>
      <c r="B12" s="128">
        <v>0.11899999999999999</v>
      </c>
      <c r="C12" s="128">
        <v>0.23200000000000001</v>
      </c>
      <c r="D12" s="128">
        <v>0.128</v>
      </c>
      <c r="E12" s="128">
        <v>7.2000000000000008E-2</v>
      </c>
      <c r="F12" s="128">
        <v>3.3</v>
      </c>
      <c r="G12" s="128">
        <v>8.6999999999999993</v>
      </c>
      <c r="H12" s="128">
        <v>6.5</v>
      </c>
      <c r="N12" s="145"/>
    </row>
    <row r="13" spans="1:18" s="8" customFormat="1" ht="12.75" customHeight="1" x14ac:dyDescent="0.25">
      <c r="A13" s="15" t="s">
        <v>240</v>
      </c>
      <c r="B13" s="128">
        <v>0.94299999999999995</v>
      </c>
      <c r="C13" s="128">
        <v>-3.2370000000000001</v>
      </c>
      <c r="D13" s="128">
        <v>0</v>
      </c>
      <c r="E13" s="128">
        <v>-21.5</v>
      </c>
      <c r="F13" s="128">
        <v>0</v>
      </c>
      <c r="G13" s="128">
        <v>-8.1</v>
      </c>
      <c r="H13" s="128">
        <v>-1.4</v>
      </c>
      <c r="N13" s="145"/>
    </row>
    <row r="14" spans="1:18" s="8" customFormat="1" ht="12.75" customHeight="1" x14ac:dyDescent="0.25">
      <c r="A14" s="15" t="s">
        <v>192</v>
      </c>
      <c r="B14" s="128">
        <v>-9.5519999999999996</v>
      </c>
      <c r="C14" s="128">
        <v>-6.2649999999999997</v>
      </c>
      <c r="D14" s="128">
        <v>-23.616</v>
      </c>
      <c r="E14" s="128">
        <v>-79.483999999999995</v>
      </c>
      <c r="F14" s="128">
        <v>-97.8</v>
      </c>
      <c r="G14" s="128">
        <v>-159.30000000000001</v>
      </c>
      <c r="H14" s="128">
        <v>-96.5</v>
      </c>
      <c r="N14" s="145"/>
      <c r="P14"/>
    </row>
    <row r="15" spans="1:18" s="8" customFormat="1" ht="12.75" customHeight="1" x14ac:dyDescent="0.25">
      <c r="A15" s="15" t="s">
        <v>241</v>
      </c>
      <c r="B15" s="128">
        <v>8.0660000000000007</v>
      </c>
      <c r="C15" s="128">
        <v>1.3149999999999999</v>
      </c>
      <c r="D15" s="128">
        <v>0</v>
      </c>
      <c r="E15" s="128">
        <v>0</v>
      </c>
      <c r="F15" s="128">
        <v>0</v>
      </c>
      <c r="G15" s="128">
        <v>0</v>
      </c>
      <c r="H15" s="128">
        <v>0</v>
      </c>
      <c r="N15" s="145"/>
    </row>
    <row r="16" spans="1:18" s="8" customFormat="1" ht="12.75" customHeight="1" x14ac:dyDescent="0.25">
      <c r="A16" s="15" t="s">
        <v>242</v>
      </c>
      <c r="B16" s="128">
        <v>-38.734000000000002</v>
      </c>
      <c r="C16" s="128">
        <v>-3.9740000000000002</v>
      </c>
      <c r="D16" s="128">
        <v>-35.454999999999998</v>
      </c>
      <c r="E16" s="128">
        <v>-3.5450000000000017</v>
      </c>
      <c r="F16" s="128">
        <v>-33.4</v>
      </c>
      <c r="G16" s="128">
        <v>-4.3000000000000043</v>
      </c>
      <c r="H16" s="128">
        <v>-26.1</v>
      </c>
      <c r="N16" s="145"/>
    </row>
    <row r="17" spans="1:14" s="8" customFormat="1" ht="12.75" customHeight="1" x14ac:dyDescent="0.25">
      <c r="A17" s="12" t="s">
        <v>243</v>
      </c>
      <c r="B17" s="139">
        <f t="shared" ref="B17:H17" si="0">SUM(B8:B16)</f>
        <v>23.516999999999982</v>
      </c>
      <c r="C17" s="139">
        <f t="shared" si="0"/>
        <v>97.332000000000008</v>
      </c>
      <c r="D17" s="139">
        <f t="shared" si="0"/>
        <v>2.98700000000008</v>
      </c>
      <c r="E17" s="139">
        <f t="shared" si="0"/>
        <v>133.91299999999973</v>
      </c>
      <c r="F17" s="139">
        <f t="shared" si="0"/>
        <v>-39.400000000000041</v>
      </c>
      <c r="G17" s="139">
        <f t="shared" si="0"/>
        <v>34.19999999999991</v>
      </c>
      <c r="H17" s="139">
        <f t="shared" si="0"/>
        <v>-39.699999999999982</v>
      </c>
      <c r="N17" s="146"/>
    </row>
    <row r="18" spans="1:14" s="8" customFormat="1" ht="12.75" customHeight="1" x14ac:dyDescent="0.25">
      <c r="A18" s="12" t="s">
        <v>244</v>
      </c>
      <c r="B18" s="128"/>
      <c r="C18" s="128"/>
      <c r="D18" s="128"/>
      <c r="E18" s="128"/>
      <c r="F18" s="128"/>
      <c r="G18" s="128"/>
      <c r="H18" s="128"/>
      <c r="N18" s="145"/>
    </row>
    <row r="19" spans="1:14" s="8" customFormat="1" ht="12.75" customHeight="1" x14ac:dyDescent="0.25">
      <c r="A19" s="15" t="s">
        <v>67</v>
      </c>
      <c r="B19" s="128">
        <v>0.78800000000000003</v>
      </c>
      <c r="C19" s="128">
        <v>0.68500000000000005</v>
      </c>
      <c r="D19" s="128">
        <v>0.214</v>
      </c>
      <c r="E19" s="128">
        <v>0.18600000000000003</v>
      </c>
      <c r="F19" s="128">
        <v>0.2</v>
      </c>
      <c r="G19" s="128">
        <v>9.9999999999999978E-2</v>
      </c>
      <c r="H19" s="128">
        <v>0.2</v>
      </c>
      <c r="N19" s="145"/>
    </row>
    <row r="20" spans="1:14" s="8" customFormat="1" ht="12.75" customHeight="1" x14ac:dyDescent="0.25">
      <c r="A20" s="15" t="s">
        <v>245</v>
      </c>
      <c r="B20" s="128">
        <v>1.1779999999999999</v>
      </c>
      <c r="C20" s="128">
        <v>3.1949999999999998</v>
      </c>
      <c r="D20" s="128">
        <v>1.736</v>
      </c>
      <c r="E20" s="128">
        <v>1.764</v>
      </c>
      <c r="F20" s="128">
        <v>2.5</v>
      </c>
      <c r="G20" s="128">
        <v>2.5999999999999996</v>
      </c>
      <c r="H20" s="128">
        <v>8.3000000000000007</v>
      </c>
      <c r="N20" s="145"/>
    </row>
    <row r="21" spans="1:14" s="8" customFormat="1" ht="12.75" customHeight="1" x14ac:dyDescent="0.25">
      <c r="A21" s="15" t="s">
        <v>246</v>
      </c>
      <c r="B21" s="128">
        <v>-2.1</v>
      </c>
      <c r="C21" s="128">
        <v>86.614999999999995</v>
      </c>
      <c r="D21" s="128">
        <v>100.703</v>
      </c>
      <c r="E21" s="128">
        <v>1.4969999999999999</v>
      </c>
      <c r="F21" s="128">
        <v>0.2</v>
      </c>
      <c r="G21" s="128">
        <v>1.2</v>
      </c>
      <c r="H21" s="128">
        <v>0</v>
      </c>
      <c r="N21" s="145"/>
    </row>
    <row r="22" spans="1:14" s="8" customFormat="1" ht="12.75" customHeight="1" x14ac:dyDescent="0.25">
      <c r="A22" s="15" t="s">
        <v>247</v>
      </c>
      <c r="B22" s="128">
        <v>0</v>
      </c>
      <c r="C22" s="128">
        <v>800</v>
      </c>
      <c r="D22" s="128">
        <v>0</v>
      </c>
      <c r="E22" s="128">
        <v>0</v>
      </c>
      <c r="F22" s="128">
        <v>0</v>
      </c>
      <c r="G22" s="128">
        <v>0</v>
      </c>
      <c r="H22" s="128">
        <v>0</v>
      </c>
      <c r="N22" s="145"/>
    </row>
    <row r="23" spans="1:14" s="8" customFormat="1" ht="12.75" customHeight="1" x14ac:dyDescent="0.25">
      <c r="A23" s="15" t="s">
        <v>248</v>
      </c>
      <c r="B23" s="128">
        <v>90.024000000000001</v>
      </c>
      <c r="C23" s="128">
        <v>2.9830000000000001</v>
      </c>
      <c r="D23" s="128">
        <v>0</v>
      </c>
      <c r="E23" s="128">
        <v>0</v>
      </c>
      <c r="F23" s="128">
        <v>0</v>
      </c>
      <c r="G23" s="128">
        <v>1.4</v>
      </c>
      <c r="H23" s="128">
        <v>135</v>
      </c>
      <c r="N23" s="145"/>
    </row>
    <row r="24" spans="1:14" s="8" customFormat="1" ht="12.75" customHeight="1" x14ac:dyDescent="0.25">
      <c r="A24" s="15" t="s">
        <v>249</v>
      </c>
      <c r="B24" s="128">
        <v>0</v>
      </c>
      <c r="C24" s="128">
        <v>-678.76800000000003</v>
      </c>
      <c r="D24" s="128">
        <v>15.07</v>
      </c>
      <c r="E24" s="128">
        <v>-872.2700000000001</v>
      </c>
      <c r="F24" s="128">
        <v>0</v>
      </c>
      <c r="G24" s="128">
        <v>0</v>
      </c>
      <c r="H24" s="128">
        <v>0</v>
      </c>
      <c r="N24" s="145"/>
    </row>
    <row r="25" spans="1:14" s="8" customFormat="1" ht="12.75" customHeight="1" x14ac:dyDescent="0.25">
      <c r="A25" s="15" t="s">
        <v>250</v>
      </c>
      <c r="B25" s="128">
        <v>0</v>
      </c>
      <c r="C25" s="128">
        <v>0</v>
      </c>
      <c r="D25" s="128">
        <v>-100</v>
      </c>
      <c r="E25" s="128">
        <v>128.69999999999999</v>
      </c>
      <c r="F25" s="128">
        <v>0.5</v>
      </c>
      <c r="G25" s="128">
        <v>-29.8</v>
      </c>
      <c r="H25" s="128">
        <v>-9.6</v>
      </c>
      <c r="N25" s="145"/>
    </row>
    <row r="26" spans="1:14" s="8" customFormat="1" ht="12.75" customHeight="1" x14ac:dyDescent="0.25">
      <c r="A26" s="15" t="s">
        <v>251</v>
      </c>
      <c r="B26" s="128">
        <v>0</v>
      </c>
      <c r="C26" s="128">
        <v>-30.175999999999998</v>
      </c>
      <c r="D26" s="128">
        <v>0</v>
      </c>
      <c r="E26" s="128">
        <v>0</v>
      </c>
      <c r="F26" s="128">
        <v>0</v>
      </c>
      <c r="G26" s="128">
        <v>0</v>
      </c>
      <c r="H26" s="128">
        <v>0</v>
      </c>
      <c r="N26" s="145"/>
    </row>
    <row r="27" spans="1:14" s="8" customFormat="1" ht="12.75" customHeight="1" x14ac:dyDescent="0.25">
      <c r="A27" s="15" t="s">
        <v>252</v>
      </c>
      <c r="B27" s="128">
        <v>-3.2090000000000001</v>
      </c>
      <c r="C27" s="128">
        <v>-4.9859999999999998</v>
      </c>
      <c r="D27" s="128">
        <v>-3.0369999999999999</v>
      </c>
      <c r="E27" s="128">
        <v>-6.2630000000000008</v>
      </c>
      <c r="F27" s="128">
        <v>-12.2</v>
      </c>
      <c r="G27" s="128">
        <v>-8.1999999999999993</v>
      </c>
      <c r="H27" s="128">
        <v>-2.8</v>
      </c>
      <c r="N27" s="145"/>
    </row>
    <row r="28" spans="1:14" s="8" customFormat="1" ht="12.75" customHeight="1" x14ac:dyDescent="0.25">
      <c r="A28" s="15" t="s">
        <v>253</v>
      </c>
      <c r="B28" s="128">
        <v>-5.359</v>
      </c>
      <c r="C28" s="128">
        <v>-7.7169999999999996</v>
      </c>
      <c r="D28" s="128">
        <v>-1.768</v>
      </c>
      <c r="E28" s="128">
        <v>-5.3319999999999999</v>
      </c>
      <c r="F28" s="128">
        <v>-18.7</v>
      </c>
      <c r="G28" s="128">
        <v>-8.1000000000000014</v>
      </c>
      <c r="H28" s="128">
        <v>-12.4</v>
      </c>
      <c r="N28" s="145"/>
    </row>
    <row r="29" spans="1:14" s="8" customFormat="1" ht="12.75" customHeight="1" x14ac:dyDescent="0.25">
      <c r="A29" s="15" t="s">
        <v>254</v>
      </c>
      <c r="B29" s="128">
        <v>7.298</v>
      </c>
      <c r="C29" s="128">
        <v>0</v>
      </c>
      <c r="D29" s="128">
        <v>0</v>
      </c>
      <c r="E29" s="128">
        <v>0</v>
      </c>
      <c r="F29" s="128">
        <v>0</v>
      </c>
      <c r="G29" s="128">
        <v>0</v>
      </c>
      <c r="H29" s="128">
        <v>0</v>
      </c>
      <c r="N29" s="145"/>
    </row>
    <row r="30" spans="1:14" s="8" customFormat="1" ht="12.75" customHeight="1" x14ac:dyDescent="0.25">
      <c r="A30" s="12" t="s">
        <v>255</v>
      </c>
      <c r="B30" s="139">
        <f t="shared" ref="B30:H30" si="1">SUM(B19:B29)</f>
        <v>88.62</v>
      </c>
      <c r="C30" s="139">
        <f t="shared" si="1"/>
        <v>171.83099999999993</v>
      </c>
      <c r="D30" s="139">
        <f t="shared" si="1"/>
        <v>12.918000000000013</v>
      </c>
      <c r="E30" s="139">
        <f t="shared" si="1"/>
        <v>-751.71800000000007</v>
      </c>
      <c r="F30" s="139">
        <f t="shared" si="1"/>
        <v>-27.5</v>
      </c>
      <c r="G30" s="139">
        <f t="shared" si="1"/>
        <v>-40.800000000000004</v>
      </c>
      <c r="H30" s="139">
        <f t="shared" si="1"/>
        <v>118.69999999999999</v>
      </c>
      <c r="N30" s="147"/>
    </row>
    <row r="31" spans="1:14" s="8" customFormat="1" ht="12.75" customHeight="1" x14ac:dyDescent="0.25">
      <c r="A31" s="12" t="s">
        <v>256</v>
      </c>
      <c r="B31" s="127"/>
      <c r="C31" s="127"/>
      <c r="D31" s="127"/>
      <c r="E31" s="127"/>
      <c r="F31" s="127"/>
      <c r="G31" s="127"/>
      <c r="H31" s="127"/>
      <c r="N31" s="148"/>
    </row>
    <row r="32" spans="1:14" s="8" customFormat="1" ht="12.75" customHeight="1" x14ac:dyDescent="0.25">
      <c r="A32" s="15" t="s">
        <v>257</v>
      </c>
      <c r="B32" s="128">
        <v>0.03</v>
      </c>
      <c r="C32" s="128">
        <v>114.97</v>
      </c>
      <c r="D32" s="128">
        <v>2.5000000000000001E-2</v>
      </c>
      <c r="E32" s="127">
        <v>590.97500000000002</v>
      </c>
      <c r="F32" s="128">
        <v>170</v>
      </c>
      <c r="G32" s="128">
        <v>24</v>
      </c>
      <c r="H32" s="128">
        <v>753.34900000000005</v>
      </c>
      <c r="N32" s="145"/>
    </row>
    <row r="33" spans="1:14" s="8" customFormat="1" ht="12.75" customHeight="1" x14ac:dyDescent="0.25">
      <c r="A33" s="15" t="s">
        <v>258</v>
      </c>
      <c r="B33" s="128">
        <v>-75</v>
      </c>
      <c r="C33" s="128">
        <v>-9.952</v>
      </c>
      <c r="D33" s="128">
        <v>-460</v>
      </c>
      <c r="E33" s="127">
        <v>-115</v>
      </c>
      <c r="F33" s="128">
        <v>-31</v>
      </c>
      <c r="G33" s="128">
        <v>-49</v>
      </c>
      <c r="H33" s="128">
        <v>-745.25099999999998</v>
      </c>
      <c r="N33" s="145"/>
    </row>
    <row r="34" spans="1:14" s="8" customFormat="1" ht="12.75" customHeight="1" x14ac:dyDescent="0.25">
      <c r="A34" s="15" t="s">
        <v>259</v>
      </c>
      <c r="B34" s="128">
        <v>0</v>
      </c>
      <c r="C34" s="128">
        <v>0</v>
      </c>
      <c r="D34" s="128">
        <v>1043.8710000000001</v>
      </c>
      <c r="E34" s="127">
        <v>2.8999999999996362E-2</v>
      </c>
      <c r="F34" s="128">
        <v>0</v>
      </c>
      <c r="G34" s="128">
        <v>0</v>
      </c>
      <c r="H34" s="128">
        <v>0</v>
      </c>
      <c r="N34" s="145"/>
    </row>
    <row r="35" spans="1:14" s="8" customFormat="1" ht="12.75" customHeight="1" x14ac:dyDescent="0.25">
      <c r="A35" s="15" t="s">
        <v>260</v>
      </c>
      <c r="B35" s="128">
        <v>0</v>
      </c>
      <c r="C35" s="128">
        <v>0</v>
      </c>
      <c r="D35" s="128">
        <v>-20.472000000000001</v>
      </c>
      <c r="E35" s="127">
        <v>7.2000000000002728E-2</v>
      </c>
      <c r="F35" s="128">
        <v>0</v>
      </c>
      <c r="G35" s="128">
        <v>0</v>
      </c>
      <c r="H35" s="128">
        <v>0</v>
      </c>
      <c r="N35" s="145"/>
    </row>
    <row r="36" spans="1:14" s="8" customFormat="1" ht="12.75" customHeight="1" x14ac:dyDescent="0.25">
      <c r="A36" s="15" t="s">
        <v>261</v>
      </c>
      <c r="B36" s="128">
        <v>-6.4260000000000002</v>
      </c>
      <c r="C36" s="128">
        <v>-7.8979999999999997</v>
      </c>
      <c r="D36" s="128">
        <v>-10.24</v>
      </c>
      <c r="E36" s="127">
        <v>-11.45</v>
      </c>
      <c r="F36" s="128">
        <v>-11</v>
      </c>
      <c r="G36" s="128">
        <v>-17</v>
      </c>
      <c r="H36" s="128">
        <v>-18.3</v>
      </c>
      <c r="N36" s="145"/>
    </row>
    <row r="37" spans="1:14" s="8" customFormat="1" ht="12.75" customHeight="1" x14ac:dyDescent="0.25">
      <c r="A37" s="15" t="s">
        <v>262</v>
      </c>
      <c r="B37" s="127">
        <v>-5.6269999999999998</v>
      </c>
      <c r="C37" s="127">
        <v>-4.4619999999999997</v>
      </c>
      <c r="D37" s="127">
        <v>-3.8220000000000001</v>
      </c>
      <c r="E37" s="127">
        <v>-3.5780000000000003</v>
      </c>
      <c r="F37" s="128">
        <v>-12</v>
      </c>
      <c r="G37" s="128">
        <v>-5.4</v>
      </c>
      <c r="H37" s="128">
        <v>-21.5</v>
      </c>
      <c r="N37" s="145"/>
    </row>
    <row r="38" spans="1:14" s="8" customFormat="1" ht="12.75" customHeight="1" x14ac:dyDescent="0.25">
      <c r="A38" s="15" t="s">
        <v>263</v>
      </c>
      <c r="B38" s="128">
        <v>-66.489000000000004</v>
      </c>
      <c r="C38" s="128">
        <v>-56.024999999999999</v>
      </c>
      <c r="D38" s="128">
        <v>-40.283000000000001</v>
      </c>
      <c r="E38" s="127">
        <v>-74.716999999999999</v>
      </c>
      <c r="F38" s="128">
        <v>-74.7</v>
      </c>
      <c r="G38" s="128">
        <v>-59.999999999999986</v>
      </c>
      <c r="H38" s="128">
        <v>-62.749000000000002</v>
      </c>
      <c r="N38" s="145"/>
    </row>
    <row r="39" spans="1:14" s="8" customFormat="1" ht="12.75" customHeight="1" x14ac:dyDescent="0.25">
      <c r="A39" s="15" t="s">
        <v>264</v>
      </c>
      <c r="B39" s="128">
        <v>-0.01</v>
      </c>
      <c r="C39" s="128">
        <v>-6.0000000000000001E-3</v>
      </c>
      <c r="D39" s="128">
        <v>-7.0000000000000001E-3</v>
      </c>
      <c r="E39" s="127">
        <v>7.0000000000000001E-3</v>
      </c>
      <c r="F39" s="128">
        <v>0</v>
      </c>
      <c r="G39" s="128">
        <v>0</v>
      </c>
      <c r="H39" s="128">
        <v>0</v>
      </c>
      <c r="N39" s="145"/>
    </row>
    <row r="40" spans="1:14" s="8" customFormat="1" ht="12.75" customHeight="1" x14ac:dyDescent="0.25">
      <c r="A40" s="15" t="s">
        <v>265</v>
      </c>
      <c r="B40" s="128">
        <v>0</v>
      </c>
      <c r="C40" s="128">
        <v>0</v>
      </c>
      <c r="D40" s="128">
        <v>0</v>
      </c>
      <c r="E40" s="128">
        <v>0</v>
      </c>
      <c r="F40" s="128">
        <v>0</v>
      </c>
      <c r="G40" s="128">
        <v>0</v>
      </c>
      <c r="H40" s="128">
        <v>-2.1</v>
      </c>
      <c r="N40" s="145"/>
    </row>
    <row r="41" spans="1:14" s="8" customFormat="1" ht="12.75" customHeight="1" x14ac:dyDescent="0.25">
      <c r="A41" s="12" t="s">
        <v>266</v>
      </c>
      <c r="B41" s="149">
        <f>SUM(B32:B40)</f>
        <v>-153.52199999999999</v>
      </c>
      <c r="C41" s="149">
        <f t="shared" ref="C41:H41" si="2">SUM(C32:C40)</f>
        <v>36.627000000000002</v>
      </c>
      <c r="D41" s="149">
        <f t="shared" si="2"/>
        <v>509.07200000000006</v>
      </c>
      <c r="E41" s="149">
        <f t="shared" si="2"/>
        <v>386.33800000000008</v>
      </c>
      <c r="F41" s="139">
        <f t="shared" si="2"/>
        <v>41.3</v>
      </c>
      <c r="G41" s="139">
        <f t="shared" si="2"/>
        <v>-107.39999999999998</v>
      </c>
      <c r="H41" s="139">
        <f t="shared" si="2"/>
        <v>-96.550999999999931</v>
      </c>
      <c r="N41" s="146"/>
    </row>
    <row r="42" spans="1:14" s="8" customFormat="1" ht="12.75" customHeight="1" x14ac:dyDescent="0.25">
      <c r="A42" s="12" t="s">
        <v>267</v>
      </c>
      <c r="B42" s="150">
        <f t="shared" ref="B42:H42" si="3">SUM(B41,B30,B17)</f>
        <v>-41.385000000000005</v>
      </c>
      <c r="C42" s="150">
        <f t="shared" si="3"/>
        <v>305.78999999999996</v>
      </c>
      <c r="D42" s="150">
        <f t="shared" si="3"/>
        <v>524.9770000000002</v>
      </c>
      <c r="E42" s="150">
        <f t="shared" si="3"/>
        <v>-231.46700000000027</v>
      </c>
      <c r="F42" s="151">
        <f t="shared" si="3"/>
        <v>-25.600000000000044</v>
      </c>
      <c r="G42" s="151">
        <f t="shared" si="3"/>
        <v>-114.00000000000009</v>
      </c>
      <c r="H42" s="151">
        <f t="shared" si="3"/>
        <v>-17.550999999999924</v>
      </c>
      <c r="N42" s="146"/>
    </row>
    <row r="43" spans="1:14" s="8" customFormat="1" ht="12.75" customHeight="1" x14ac:dyDescent="0.25">
      <c r="A43" s="12" t="s">
        <v>268</v>
      </c>
      <c r="B43" s="150">
        <v>91.686999999999827</v>
      </c>
      <c r="C43" s="150">
        <f t="shared" ref="C43:G43" si="4">B47</f>
        <v>65.266999999999811</v>
      </c>
      <c r="D43" s="150">
        <f t="shared" si="4"/>
        <v>370.98999999999978</v>
      </c>
      <c r="E43" s="150">
        <f t="shared" si="4"/>
        <v>895.96699999999998</v>
      </c>
      <c r="F43" s="151">
        <f t="shared" si="4"/>
        <v>666.0999999999998</v>
      </c>
      <c r="G43" s="151">
        <f t="shared" si="4"/>
        <v>640.49999999999977</v>
      </c>
      <c r="H43" s="151">
        <f>G47</f>
        <v>513.6999999999997</v>
      </c>
      <c r="N43" s="146"/>
    </row>
    <row r="44" spans="1:14" s="8" customFormat="1" ht="12.75" customHeight="1" x14ac:dyDescent="0.25">
      <c r="A44" s="15" t="s">
        <v>269</v>
      </c>
      <c r="B44" s="128">
        <v>14.962999999999999</v>
      </c>
      <c r="C44" s="128">
        <v>0</v>
      </c>
      <c r="D44" s="128">
        <v>0</v>
      </c>
      <c r="E44" s="127">
        <v>0</v>
      </c>
      <c r="F44" s="128">
        <v>0</v>
      </c>
      <c r="G44" s="128">
        <v>0</v>
      </c>
      <c r="H44" s="128">
        <v>12.849</v>
      </c>
      <c r="N44" s="145"/>
    </row>
    <row r="45" spans="1:14" s="8" customFormat="1" ht="12.75" customHeight="1" x14ac:dyDescent="0.25">
      <c r="A45" s="15" t="s">
        <v>270</v>
      </c>
      <c r="B45" s="128">
        <v>2E-3</v>
      </c>
      <c r="C45" s="128">
        <v>-6.7000000000000004E-2</v>
      </c>
      <c r="D45" s="128">
        <v>0</v>
      </c>
      <c r="E45" s="127">
        <v>1.6</v>
      </c>
      <c r="F45" s="128">
        <v>0</v>
      </c>
      <c r="G45" s="128">
        <v>0</v>
      </c>
      <c r="H45" s="128">
        <v>0.2</v>
      </c>
      <c r="N45" s="145"/>
    </row>
    <row r="46" spans="1:14" s="8" customFormat="1" ht="12.75" customHeight="1" x14ac:dyDescent="0.25">
      <c r="A46" s="15" t="s">
        <v>271</v>
      </c>
      <c r="B46" s="128">
        <v>0</v>
      </c>
      <c r="C46" s="128">
        <v>0</v>
      </c>
      <c r="D46" s="128">
        <v>0</v>
      </c>
      <c r="E46" s="127">
        <v>0</v>
      </c>
      <c r="F46" s="128">
        <v>0</v>
      </c>
      <c r="G46" s="128">
        <v>-12.8</v>
      </c>
      <c r="H46" s="128">
        <v>0</v>
      </c>
      <c r="N46" s="145"/>
    </row>
    <row r="47" spans="1:14" ht="12.75" customHeight="1" thickBot="1" x14ac:dyDescent="0.25">
      <c r="A47" s="85" t="s">
        <v>272</v>
      </c>
      <c r="B47" s="140">
        <f t="shared" ref="B47:E47" si="5">SUM(B42:B46)</f>
        <v>65.266999999999811</v>
      </c>
      <c r="C47" s="140">
        <f t="shared" si="5"/>
        <v>370.98999999999978</v>
      </c>
      <c r="D47" s="140">
        <f t="shared" si="5"/>
        <v>895.96699999999998</v>
      </c>
      <c r="E47" s="140">
        <f t="shared" si="5"/>
        <v>666.0999999999998</v>
      </c>
      <c r="F47" s="141">
        <f t="shared" ref="F47:H47" si="6">SUM(F42:F46)</f>
        <v>640.49999999999977</v>
      </c>
      <c r="G47" s="141">
        <f t="shared" si="6"/>
        <v>513.6999999999997</v>
      </c>
      <c r="H47" s="141">
        <f t="shared" si="6"/>
        <v>509.19799999999975</v>
      </c>
      <c r="N47" s="152"/>
    </row>
    <row r="48" spans="1:14" ht="12.75" customHeight="1" thickTop="1" x14ac:dyDescent="0.2"/>
  </sheetData>
  <mergeCells count="1">
    <mergeCell ref="A4:H4"/>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9DEA2-D824-47AB-9AE7-B38ED462975F}">
  <sheetPr>
    <pageSetUpPr fitToPage="1"/>
  </sheetPr>
  <dimension ref="A1:R48"/>
  <sheetViews>
    <sheetView showGridLines="0" zoomScaleNormal="100" zoomScaleSheetLayoutView="100" workbookViewId="0"/>
  </sheetViews>
  <sheetFormatPr defaultColWidth="9.140625" defaultRowHeight="12.75" customHeight="1" x14ac:dyDescent="0.2"/>
  <cols>
    <col min="1" max="1" width="78.7109375" style="6" customWidth="1"/>
    <col min="2" max="8" width="9.5703125" style="6" customWidth="1"/>
    <col min="9" max="9" width="2.5703125" style="6" customWidth="1"/>
    <col min="10" max="11" width="9.5703125" style="6" customWidth="1"/>
    <col min="12" max="12" width="6.140625" style="6" customWidth="1"/>
    <col min="13" max="16384" width="9.140625" style="6"/>
  </cols>
  <sheetData>
    <row r="1" spans="1:18" s="3" customFormat="1" ht="27.95" customHeight="1" x14ac:dyDescent="0.25">
      <c r="A1" s="1" t="s">
        <v>0</v>
      </c>
      <c r="B1" s="2"/>
      <c r="C1" s="2"/>
      <c r="D1" s="2"/>
      <c r="E1" s="2"/>
      <c r="F1" s="2"/>
      <c r="G1" s="2"/>
      <c r="H1" s="2"/>
      <c r="I1" s="2"/>
      <c r="J1" s="2"/>
      <c r="K1" s="2"/>
      <c r="L1" s="2"/>
      <c r="R1"/>
    </row>
    <row r="2" spans="1:18" s="10" customFormat="1" ht="12.75" customHeight="1" x14ac:dyDescent="0.2"/>
    <row r="3" spans="1:18" s="3" customFormat="1" ht="18" customHeight="1" x14ac:dyDescent="0.25">
      <c r="A3" s="4" t="s">
        <v>273</v>
      </c>
      <c r="B3" s="5"/>
      <c r="C3" s="5"/>
      <c r="D3" s="5"/>
      <c r="E3" s="5"/>
      <c r="F3" s="5"/>
      <c r="G3" s="5"/>
      <c r="H3" s="5"/>
      <c r="I3" s="5"/>
      <c r="J3" s="5"/>
      <c r="K3" s="5"/>
      <c r="L3" s="5"/>
    </row>
    <row r="4" spans="1:18" s="8" customFormat="1" ht="25.5" customHeight="1" x14ac:dyDescent="0.25">
      <c r="A4" s="153" t="s">
        <v>274</v>
      </c>
    </row>
    <row r="5" spans="1:18" s="8" customFormat="1" ht="12.75" customHeight="1" thickBot="1" x14ac:dyDescent="0.3">
      <c r="B5" s="11" t="s">
        <v>6</v>
      </c>
      <c r="C5" s="11" t="s">
        <v>7</v>
      </c>
      <c r="D5" s="11" t="s">
        <v>8</v>
      </c>
      <c r="E5" s="11" t="s">
        <v>9</v>
      </c>
      <c r="F5" s="11" t="s">
        <v>10</v>
      </c>
      <c r="G5" s="11" t="s">
        <v>11</v>
      </c>
      <c r="H5" s="11" t="s">
        <v>12</v>
      </c>
      <c r="I5" s="126"/>
      <c r="J5" s="154"/>
      <c r="K5" s="47"/>
      <c r="L5" s="126"/>
    </row>
    <row r="6" spans="1:18" s="8" customFormat="1" ht="12.75" customHeight="1" x14ac:dyDescent="0.25">
      <c r="A6" s="12" t="s">
        <v>275</v>
      </c>
      <c r="J6" s="40"/>
      <c r="K6" s="40"/>
    </row>
    <row r="7" spans="1:18" s="8" customFormat="1" ht="12.75" customHeight="1" x14ac:dyDescent="0.25">
      <c r="A7" s="15" t="s">
        <v>276</v>
      </c>
      <c r="B7" s="128">
        <v>65.269000000000005</v>
      </c>
      <c r="C7" s="128">
        <v>225.36</v>
      </c>
      <c r="D7" s="128">
        <v>783.13</v>
      </c>
      <c r="E7" s="128">
        <v>501.20000000000005</v>
      </c>
      <c r="F7" s="128">
        <v>474.5</v>
      </c>
      <c r="G7" s="128">
        <f>'Balance Sheet'!G8-Debt!G8</f>
        <v>379.80000000000007</v>
      </c>
      <c r="H7" s="128">
        <f>'Balance Sheet'!H8-Debt!H8</f>
        <v>405.7</v>
      </c>
      <c r="I7" s="26"/>
      <c r="J7" s="47"/>
      <c r="K7" s="40"/>
      <c r="N7" s="131"/>
    </row>
    <row r="8" spans="1:18" s="8" customFormat="1" ht="12.75" customHeight="1" x14ac:dyDescent="0.25">
      <c r="A8" s="15" t="s">
        <v>277</v>
      </c>
      <c r="B8" s="128">
        <v>0</v>
      </c>
      <c r="C8" s="128">
        <v>145.63</v>
      </c>
      <c r="D8" s="128">
        <v>112.83</v>
      </c>
      <c r="E8" s="128">
        <v>164.9</v>
      </c>
      <c r="F8" s="128">
        <v>166</v>
      </c>
      <c r="G8" s="128">
        <v>133.9</v>
      </c>
      <c r="H8" s="128">
        <v>103.5</v>
      </c>
      <c r="J8" s="40"/>
      <c r="K8" s="40"/>
    </row>
    <row r="9" spans="1:18" s="8" customFormat="1" ht="12.75" customHeight="1" x14ac:dyDescent="0.25">
      <c r="A9" s="15" t="s">
        <v>278</v>
      </c>
      <c r="B9" s="128">
        <v>0</v>
      </c>
      <c r="C9" s="128">
        <v>0</v>
      </c>
      <c r="D9" s="128">
        <v>100</v>
      </c>
      <c r="E9" s="128">
        <v>0</v>
      </c>
      <c r="F9" s="128">
        <v>0</v>
      </c>
      <c r="G9" s="128">
        <v>0</v>
      </c>
      <c r="H9" s="128">
        <v>0</v>
      </c>
      <c r="J9" s="40"/>
      <c r="K9" s="40"/>
    </row>
    <row r="10" spans="1:18" s="8" customFormat="1" ht="12.75" customHeight="1" x14ac:dyDescent="0.25">
      <c r="A10" s="12" t="s">
        <v>279</v>
      </c>
      <c r="B10" s="128"/>
      <c r="C10" s="128"/>
      <c r="D10" s="128"/>
      <c r="E10" s="128"/>
      <c r="F10" s="128"/>
      <c r="G10" s="128"/>
      <c r="H10" s="128"/>
      <c r="J10" s="40"/>
      <c r="K10" s="40"/>
    </row>
    <row r="11" spans="1:18" s="8" customFormat="1" ht="12.75" customHeight="1" x14ac:dyDescent="0.25">
      <c r="A11" s="15" t="s">
        <v>280</v>
      </c>
      <c r="B11" s="128">
        <v>615</v>
      </c>
      <c r="C11" s="128">
        <v>615</v>
      </c>
      <c r="D11" s="128">
        <v>865</v>
      </c>
      <c r="E11" s="128">
        <v>865</v>
      </c>
      <c r="F11" s="128">
        <v>865</v>
      </c>
      <c r="G11" s="128">
        <v>865</v>
      </c>
      <c r="H11" s="128">
        <v>900</v>
      </c>
      <c r="J11" s="47"/>
      <c r="K11" s="40"/>
    </row>
    <row r="12" spans="1:18" s="8" customFormat="1" ht="12.75" customHeight="1" x14ac:dyDescent="0.25">
      <c r="A12" s="15" t="s">
        <v>281</v>
      </c>
      <c r="B12" s="128">
        <v>355</v>
      </c>
      <c r="C12" s="128">
        <v>460</v>
      </c>
      <c r="D12" s="128">
        <v>0</v>
      </c>
      <c r="E12" s="128">
        <v>476</v>
      </c>
      <c r="F12" s="128">
        <v>615</v>
      </c>
      <c r="G12" s="128">
        <v>590</v>
      </c>
      <c r="H12" s="128">
        <v>598</v>
      </c>
      <c r="J12" s="40"/>
      <c r="K12" s="40"/>
    </row>
    <row r="13" spans="1:18" s="8" customFormat="1" ht="12.75" customHeight="1" x14ac:dyDescent="0.25">
      <c r="A13" s="15" t="s">
        <v>282</v>
      </c>
      <c r="B13" s="128">
        <v>260</v>
      </c>
      <c r="C13" s="128">
        <v>155</v>
      </c>
      <c r="D13" s="128">
        <v>865</v>
      </c>
      <c r="E13" s="128">
        <v>389</v>
      </c>
      <c r="F13" s="128">
        <v>250</v>
      </c>
      <c r="G13" s="128">
        <v>275</v>
      </c>
      <c r="H13" s="128">
        <f>H11-H12</f>
        <v>302</v>
      </c>
      <c r="J13" s="47"/>
      <c r="K13" s="40"/>
    </row>
    <row r="14" spans="1:18" s="8" customFormat="1" ht="12.75" customHeight="1" x14ac:dyDescent="0.25">
      <c r="A14" s="35"/>
      <c r="B14" s="128"/>
      <c r="C14" s="128"/>
      <c r="D14" s="128"/>
      <c r="E14" s="128"/>
      <c r="F14" s="128"/>
      <c r="G14" s="128"/>
      <c r="H14" s="128"/>
      <c r="J14" s="40"/>
      <c r="K14" s="40"/>
    </row>
    <row r="15" spans="1:18" s="8" customFormat="1" ht="12.75" customHeight="1" x14ac:dyDescent="0.25">
      <c r="A15" s="12" t="s">
        <v>283</v>
      </c>
      <c r="B15" s="128"/>
      <c r="C15" s="128"/>
      <c r="D15" s="128"/>
      <c r="E15" s="128"/>
      <c r="F15" s="128"/>
      <c r="G15" s="128"/>
      <c r="H15" s="128"/>
      <c r="J15" s="40"/>
      <c r="K15" s="40"/>
    </row>
    <row r="16" spans="1:18" s="8" customFormat="1" ht="12.75" customHeight="1" x14ac:dyDescent="0.25">
      <c r="A16" s="15" t="s">
        <v>284</v>
      </c>
      <c r="B16" s="128">
        <f t="shared" ref="B16:C16" si="0">B12-B7-B9</f>
        <v>289.73099999999999</v>
      </c>
      <c r="C16" s="128">
        <f t="shared" si="0"/>
        <v>234.64</v>
      </c>
      <c r="D16" s="128">
        <f>D12-D7-D9</f>
        <v>-883.13</v>
      </c>
      <c r="E16" s="128">
        <f>E12-E7-E9</f>
        <v>-25.200000000000045</v>
      </c>
      <c r="F16" s="128">
        <f>F12-F7-F9</f>
        <v>140.5</v>
      </c>
      <c r="G16" s="128">
        <f>G12-G7-G9</f>
        <v>210.19999999999993</v>
      </c>
      <c r="H16" s="128">
        <f>H12-H7-H9</f>
        <v>192.3</v>
      </c>
      <c r="J16" s="40"/>
      <c r="K16" s="40"/>
    </row>
    <row r="17" spans="1:12" s="8" customFormat="1" ht="12.75" customHeight="1" x14ac:dyDescent="0.25">
      <c r="A17" s="15" t="s">
        <v>285</v>
      </c>
      <c r="B17" s="155" t="s">
        <v>286</v>
      </c>
      <c r="C17" s="155" t="s">
        <v>287</v>
      </c>
      <c r="D17" s="155" t="s">
        <v>286</v>
      </c>
      <c r="E17" s="155" t="s">
        <v>288</v>
      </c>
      <c r="F17" s="155" t="s">
        <v>289</v>
      </c>
      <c r="G17" s="155" t="s">
        <v>290</v>
      </c>
      <c r="H17" s="155" t="s">
        <v>291</v>
      </c>
      <c r="J17" s="26"/>
    </row>
    <row r="18" spans="1:12" s="8" customFormat="1" ht="12.75" customHeight="1" x14ac:dyDescent="0.25">
      <c r="A18" s="35"/>
      <c r="B18" s="155"/>
      <c r="C18" s="155"/>
      <c r="D18" s="128"/>
      <c r="E18" s="128"/>
      <c r="F18" s="128"/>
      <c r="G18" s="128"/>
      <c r="H18" s="128"/>
    </row>
    <row r="19" spans="1:12" s="8" customFormat="1" ht="12.75" customHeight="1" x14ac:dyDescent="0.25">
      <c r="A19" s="12" t="s">
        <v>292</v>
      </c>
      <c r="I19" s="26"/>
    </row>
    <row r="20" spans="1:12" s="8" customFormat="1" ht="12.75" customHeight="1" x14ac:dyDescent="0.25">
      <c r="A20" s="15" t="s">
        <v>293</v>
      </c>
      <c r="B20" s="128">
        <f t="shared" ref="B20:F20" si="1">B16</f>
        <v>289.73099999999999</v>
      </c>
      <c r="C20" s="128">
        <f t="shared" si="1"/>
        <v>234.64</v>
      </c>
      <c r="D20" s="128">
        <f t="shared" si="1"/>
        <v>-883.13</v>
      </c>
      <c r="E20" s="128">
        <f t="shared" si="1"/>
        <v>-25.200000000000045</v>
      </c>
      <c r="F20" s="128">
        <f t="shared" si="1"/>
        <v>140.5</v>
      </c>
      <c r="G20" s="128">
        <f>G16</f>
        <v>210.19999999999993</v>
      </c>
      <c r="H20" s="128">
        <f>H16</f>
        <v>192.3</v>
      </c>
      <c r="K20" s="128"/>
    </row>
    <row r="21" spans="1:12" s="8" customFormat="1" ht="12.75" customHeight="1" x14ac:dyDescent="0.25">
      <c r="A21" s="15" t="s">
        <v>204</v>
      </c>
      <c r="B21" s="128">
        <v>-800</v>
      </c>
      <c r="C21" s="128">
        <v>0</v>
      </c>
      <c r="D21" s="128">
        <v>0</v>
      </c>
      <c r="E21" s="128">
        <v>0</v>
      </c>
      <c r="F21" s="128">
        <v>0</v>
      </c>
      <c r="G21" s="128">
        <v>0</v>
      </c>
      <c r="H21" s="128">
        <v>0</v>
      </c>
    </row>
    <row r="22" spans="1:12" s="8" customFormat="1" ht="12.75" customHeight="1" x14ac:dyDescent="0.25">
      <c r="A22" s="15" t="s">
        <v>294</v>
      </c>
      <c r="B22" s="128">
        <v>5.9390000000000001</v>
      </c>
      <c r="C22" s="128">
        <v>73.435000000000002</v>
      </c>
      <c r="D22" s="128">
        <v>6.81</v>
      </c>
      <c r="E22" s="128">
        <v>169.8</v>
      </c>
      <c r="F22" s="128">
        <v>192.5</v>
      </c>
      <c r="G22" s="128">
        <v>182.29999999999998</v>
      </c>
      <c r="H22" s="128">
        <v>167.7</v>
      </c>
    </row>
    <row r="23" spans="1:12" s="8" customFormat="1" ht="12.75" customHeight="1" x14ac:dyDescent="0.25">
      <c r="A23" s="15" t="s">
        <v>295</v>
      </c>
      <c r="B23" s="128">
        <v>46.682000000000002</v>
      </c>
      <c r="C23" s="128">
        <v>54.719000000000001</v>
      </c>
      <c r="D23" s="128">
        <v>54.719000000000001</v>
      </c>
      <c r="E23" s="128">
        <v>33.299999999999997</v>
      </c>
      <c r="F23" s="128">
        <v>33.799999999999997</v>
      </c>
      <c r="G23" s="128">
        <v>33.9</v>
      </c>
      <c r="H23" s="128">
        <v>0</v>
      </c>
    </row>
    <row r="24" spans="1:12" s="8" customFormat="1" ht="12.75" customHeight="1" x14ac:dyDescent="0.25">
      <c r="A24" s="15" t="s">
        <v>296</v>
      </c>
      <c r="B24" s="128">
        <v>2.5760000000000001</v>
      </c>
      <c r="C24" s="128">
        <v>5.6260000000000003</v>
      </c>
      <c r="D24" s="128">
        <v>25.331</v>
      </c>
      <c r="E24" s="128">
        <v>23.1</v>
      </c>
      <c r="F24" s="128">
        <v>10.8</v>
      </c>
      <c r="G24" s="128">
        <v>7.3</v>
      </c>
      <c r="H24" s="128">
        <v>0</v>
      </c>
    </row>
    <row r="25" spans="1:12" s="8" customFormat="1" ht="12.75" customHeight="1" x14ac:dyDescent="0.25">
      <c r="A25" s="15" t="s">
        <v>297</v>
      </c>
      <c r="B25" s="156">
        <v>2.8319999999999999</v>
      </c>
      <c r="C25" s="156">
        <v>2.8319999999999999</v>
      </c>
      <c r="D25" s="156">
        <v>2.8319999999999999</v>
      </c>
      <c r="E25" s="156">
        <v>2.8</v>
      </c>
      <c r="F25" s="156">
        <v>2.8</v>
      </c>
      <c r="G25" s="156">
        <v>2.8</v>
      </c>
      <c r="H25" s="156">
        <v>0</v>
      </c>
    </row>
    <row r="26" spans="1:12" s="8" customFormat="1" ht="12.75" customHeight="1" x14ac:dyDescent="0.25">
      <c r="A26" s="12" t="s">
        <v>298</v>
      </c>
      <c r="B26" s="157" t="str">
        <f t="shared" ref="B26:C26" si="2">IF(SUM(B20:B25)&lt;0,"n/a",SUM(B20:B25))</f>
        <v>n/a</v>
      </c>
      <c r="C26" s="157">
        <f t="shared" si="2"/>
        <v>371.25199999999995</v>
      </c>
      <c r="D26" s="157" t="str">
        <f>IF(SUM(D20:D25)&lt;0,"n/a",SUM(D20:D25))</f>
        <v>n/a</v>
      </c>
      <c r="E26" s="157">
        <f>IF(SUM(E20:E25)&lt;0,"n/a",SUM(E20:E25))</f>
        <v>203.79999999999998</v>
      </c>
      <c r="F26" s="157">
        <f>IF(SUM(F20:F25)&lt;0,"n/a",SUM(F20:F25))</f>
        <v>380.40000000000003</v>
      </c>
      <c r="G26" s="157">
        <f>IF(SUM(G20:G25)&lt;0,"n/a",SUM(G20:G25))</f>
        <v>436.49999999999989</v>
      </c>
      <c r="H26" s="157">
        <f>IF(SUM(H20:H25)&lt;0,"n/a",SUM(H20:H25))</f>
        <v>360</v>
      </c>
      <c r="K26" s="157"/>
    </row>
    <row r="27" spans="1:12" s="8" customFormat="1" ht="12.75" customHeight="1" x14ac:dyDescent="0.25">
      <c r="A27" s="35"/>
      <c r="G27" s="131"/>
      <c r="H27" s="131"/>
    </row>
    <row r="28" spans="1:12" s="8" customFormat="1" ht="12.75" customHeight="1" x14ac:dyDescent="0.25">
      <c r="A28" s="187" t="s">
        <v>299</v>
      </c>
      <c r="B28" s="187"/>
      <c r="C28" s="187"/>
      <c r="D28" s="187"/>
      <c r="E28" s="187"/>
      <c r="F28" s="187"/>
      <c r="G28" s="187"/>
      <c r="H28" s="187"/>
      <c r="I28" s="187"/>
      <c r="J28" s="187"/>
      <c r="K28" s="187"/>
      <c r="L28" s="72"/>
    </row>
    <row r="29" spans="1:12" s="8" customFormat="1" ht="12.75" customHeight="1" x14ac:dyDescent="0.25">
      <c r="A29" s="190" t="s">
        <v>300</v>
      </c>
      <c r="B29" s="190"/>
      <c r="C29" s="190"/>
      <c r="D29" s="190"/>
      <c r="E29" s="190"/>
      <c r="F29" s="190"/>
      <c r="G29" s="190"/>
      <c r="H29" s="190"/>
      <c r="I29" s="190"/>
      <c r="J29" s="190"/>
      <c r="K29" s="190"/>
    </row>
    <row r="30" spans="1:12" ht="12.75" customHeight="1" x14ac:dyDescent="0.2">
      <c r="A30" s="158"/>
    </row>
    <row r="31" spans="1:12" ht="12.75" customHeight="1" x14ac:dyDescent="0.2">
      <c r="A31" s="158"/>
    </row>
    <row r="32" spans="1:12" ht="12.75" customHeight="1" x14ac:dyDescent="0.2">
      <c r="A32" s="159"/>
    </row>
    <row r="33" spans="1:1" ht="12.75" customHeight="1" x14ac:dyDescent="0.2">
      <c r="A33" s="85"/>
    </row>
    <row r="34" spans="1:1" ht="12.75" customHeight="1" x14ac:dyDescent="0.2">
      <c r="A34" s="85"/>
    </row>
    <row r="35" spans="1:1" ht="12.75" customHeight="1" x14ac:dyDescent="0.2">
      <c r="A35" s="158"/>
    </row>
    <row r="36" spans="1:1" ht="12.75" customHeight="1" x14ac:dyDescent="0.2">
      <c r="A36" s="158"/>
    </row>
    <row r="37" spans="1:1" ht="12.75" customHeight="1" x14ac:dyDescent="0.2">
      <c r="A37" s="158"/>
    </row>
    <row r="38" spans="1:1" ht="12.75" customHeight="1" x14ac:dyDescent="0.2">
      <c r="A38" s="158"/>
    </row>
    <row r="39" spans="1:1" ht="12.75" customHeight="1" x14ac:dyDescent="0.2">
      <c r="A39" s="158"/>
    </row>
    <row r="40" spans="1:1" ht="12.75" customHeight="1" x14ac:dyDescent="0.2">
      <c r="A40" s="158"/>
    </row>
    <row r="41" spans="1:1" ht="12.75" customHeight="1" x14ac:dyDescent="0.2">
      <c r="A41" s="158"/>
    </row>
    <row r="42" spans="1:1" ht="12.75" customHeight="1" x14ac:dyDescent="0.2">
      <c r="A42" s="85"/>
    </row>
    <row r="43" spans="1:1" ht="12.75" customHeight="1" x14ac:dyDescent="0.2">
      <c r="A43" s="85"/>
    </row>
    <row r="44" spans="1:1" ht="12.75" customHeight="1" x14ac:dyDescent="0.2">
      <c r="A44" s="85"/>
    </row>
    <row r="45" spans="1:1" ht="12.75" customHeight="1" x14ac:dyDescent="0.2">
      <c r="A45" s="158"/>
    </row>
    <row r="46" spans="1:1" ht="12.75" customHeight="1" x14ac:dyDescent="0.2">
      <c r="A46" s="158"/>
    </row>
    <row r="47" spans="1:1" ht="12.75" customHeight="1" x14ac:dyDescent="0.2">
      <c r="A47" s="158"/>
    </row>
    <row r="48" spans="1:1" ht="12.75" customHeight="1" x14ac:dyDescent="0.2">
      <c r="A48" s="85"/>
    </row>
  </sheetData>
  <mergeCells count="2">
    <mergeCell ref="A28:K28"/>
    <mergeCell ref="A29:K29"/>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D46F8-142F-4289-9C26-A56D0FEF5957}">
  <sheetPr>
    <pageSetUpPr fitToPage="1"/>
  </sheetPr>
  <dimension ref="A1:M19"/>
  <sheetViews>
    <sheetView showGridLines="0" zoomScaleNormal="100" zoomScaleSheetLayoutView="100" workbookViewId="0"/>
  </sheetViews>
  <sheetFormatPr defaultColWidth="9.140625" defaultRowHeight="12.75" customHeight="1" x14ac:dyDescent="0.2"/>
  <cols>
    <col min="1" max="1" width="78.7109375" style="6" customWidth="1"/>
    <col min="2" max="8" width="9.5703125" style="6" customWidth="1"/>
    <col min="9" max="9" width="2.5703125" style="6" customWidth="1"/>
    <col min="10" max="11" width="9.5703125" style="6" customWidth="1"/>
    <col min="12" max="12" width="6.140625" style="6" customWidth="1"/>
    <col min="13" max="13" width="9.5703125" style="6" customWidth="1"/>
    <col min="14" max="16384" width="9.140625" style="6"/>
  </cols>
  <sheetData>
    <row r="1" spans="1:13" s="3" customFormat="1" ht="27.95" customHeight="1" x14ac:dyDescent="0.25">
      <c r="A1" s="1" t="s">
        <v>0</v>
      </c>
      <c r="B1" s="2"/>
      <c r="C1" s="2"/>
      <c r="D1" s="2"/>
      <c r="E1" s="2"/>
      <c r="F1" s="2"/>
      <c r="G1" s="2"/>
      <c r="H1" s="2"/>
      <c r="I1" s="2"/>
      <c r="J1" s="2"/>
      <c r="K1" s="2"/>
      <c r="L1" s="2"/>
      <c r="M1" s="179"/>
    </row>
    <row r="2" spans="1:13" s="10" customFormat="1" ht="12.75" customHeight="1" x14ac:dyDescent="0.2">
      <c r="M2" s="180"/>
    </row>
    <row r="3" spans="1:13" s="3" customFormat="1" ht="18" customHeight="1" x14ac:dyDescent="0.25">
      <c r="A3" s="4" t="s">
        <v>301</v>
      </c>
      <c r="B3" s="5"/>
      <c r="C3" s="5"/>
      <c r="D3" s="5"/>
      <c r="E3" s="5"/>
      <c r="F3" s="5"/>
      <c r="G3" s="5"/>
      <c r="H3" s="5"/>
      <c r="I3" s="5"/>
      <c r="J3" s="5"/>
      <c r="K3" s="5"/>
      <c r="L3" s="5"/>
      <c r="M3" s="179"/>
    </row>
    <row r="4" spans="1:13" s="8" customFormat="1" ht="12.75" customHeight="1" x14ac:dyDescent="0.25">
      <c r="A4" s="112"/>
    </row>
    <row r="5" spans="1:13" s="8" customFormat="1" ht="12.75" customHeight="1" thickBot="1" x14ac:dyDescent="0.3">
      <c r="B5" s="11" t="s">
        <v>6</v>
      </c>
      <c r="C5" s="11" t="s">
        <v>7</v>
      </c>
      <c r="D5" s="11" t="s">
        <v>8</v>
      </c>
      <c r="E5" s="11" t="s">
        <v>9</v>
      </c>
      <c r="F5" s="11" t="s">
        <v>10</v>
      </c>
      <c r="G5" s="11" t="s">
        <v>11</v>
      </c>
      <c r="H5" s="11" t="s">
        <v>12</v>
      </c>
      <c r="J5" s="126"/>
      <c r="K5" s="126"/>
      <c r="L5" s="12"/>
      <c r="M5" s="126"/>
    </row>
    <row r="6" spans="1:13" s="8" customFormat="1" ht="12.75" customHeight="1" x14ac:dyDescent="0.25">
      <c r="A6" s="12" t="s">
        <v>302</v>
      </c>
      <c r="B6" s="160"/>
      <c r="C6" s="160"/>
      <c r="D6" s="160"/>
      <c r="E6" s="160"/>
      <c r="F6" s="160"/>
      <c r="G6" s="160"/>
      <c r="H6" s="160"/>
    </row>
    <row r="7" spans="1:13" s="8" customFormat="1" ht="12.75" customHeight="1" x14ac:dyDescent="0.25">
      <c r="A7" s="15" t="s">
        <v>303</v>
      </c>
      <c r="B7" s="161">
        <v>0.32</v>
      </c>
      <c r="C7" s="160">
        <v>0.29308773705564095</v>
      </c>
      <c r="D7" s="160">
        <v>0.30797519022475339</v>
      </c>
      <c r="E7" s="160">
        <v>0.31240723584113639</v>
      </c>
      <c r="F7" s="160">
        <v>0.3</v>
      </c>
      <c r="G7" s="160">
        <v>0.29595301898884463</v>
      </c>
      <c r="H7" s="160">
        <v>0.30551055832292806</v>
      </c>
    </row>
    <row r="8" spans="1:13" s="8" customFormat="1" ht="12.75" customHeight="1" x14ac:dyDescent="0.25">
      <c r="A8" s="15" t="s">
        <v>304</v>
      </c>
      <c r="B8" s="161">
        <v>0.24</v>
      </c>
      <c r="C8" s="160">
        <v>0.25511056343744548</v>
      </c>
      <c r="D8" s="160">
        <v>0.24990346681472753</v>
      </c>
      <c r="E8" s="160">
        <v>0.29808538762892112</v>
      </c>
      <c r="F8" s="160">
        <v>0.3</v>
      </c>
      <c r="G8" s="160">
        <v>0.28084888524607593</v>
      </c>
      <c r="H8" s="160">
        <v>0.2826716274442555</v>
      </c>
    </row>
    <row r="9" spans="1:13" s="8" customFormat="1" ht="12.75" customHeight="1" x14ac:dyDescent="0.25">
      <c r="A9" s="15" t="s">
        <v>305</v>
      </c>
      <c r="B9" s="161">
        <v>0.19</v>
      </c>
      <c r="C9" s="160">
        <v>0.2</v>
      </c>
      <c r="D9" s="160">
        <v>0.2053547643391759</v>
      </c>
      <c r="E9" s="160">
        <v>0.16411405922636044</v>
      </c>
      <c r="F9" s="160">
        <v>0.16</v>
      </c>
      <c r="G9" s="160">
        <v>0.16</v>
      </c>
      <c r="H9" s="160">
        <v>0.16296341761789407</v>
      </c>
    </row>
    <row r="10" spans="1:13" s="8" customFormat="1" ht="12.75" customHeight="1" x14ac:dyDescent="0.25">
      <c r="A10" s="15" t="s">
        <v>201</v>
      </c>
      <c r="B10" s="161">
        <v>0.13</v>
      </c>
      <c r="C10" s="160">
        <v>0.13</v>
      </c>
      <c r="D10" s="160">
        <v>0.12326592496395115</v>
      </c>
      <c r="E10" s="160">
        <v>0.11092150815244155</v>
      </c>
      <c r="F10" s="160">
        <v>0.11</v>
      </c>
      <c r="G10" s="160">
        <v>0.12</v>
      </c>
      <c r="H10" s="160">
        <v>0.11471348434934696</v>
      </c>
    </row>
    <row r="11" spans="1:13" s="8" customFormat="1" ht="12.75" customHeight="1" x14ac:dyDescent="0.25">
      <c r="A11" s="15" t="s">
        <v>306</v>
      </c>
      <c r="B11" s="161">
        <v>7.0000000000000007E-2</v>
      </c>
      <c r="C11" s="160">
        <v>7.8770497522327773E-2</v>
      </c>
      <c r="D11" s="160">
        <v>6.7622489356519044E-2</v>
      </c>
      <c r="E11" s="160">
        <v>7.7557770199344206E-2</v>
      </c>
      <c r="F11" s="160">
        <v>0.09</v>
      </c>
      <c r="G11" s="160">
        <v>9.0647320460687436E-2</v>
      </c>
      <c r="H11" s="160">
        <v>8.6576778519085337E-2</v>
      </c>
    </row>
    <row r="12" spans="1:13" s="8" customFormat="1" ht="12.75" customHeight="1" x14ac:dyDescent="0.25">
      <c r="A12" s="15" t="s">
        <v>82</v>
      </c>
      <c r="B12" s="161">
        <v>0.06</v>
      </c>
      <c r="C12" s="160">
        <v>4.4119200773633245E-2</v>
      </c>
      <c r="D12" s="160">
        <v>4.5878164300873055E-2</v>
      </c>
      <c r="E12" s="160">
        <v>3.691403895179636E-2</v>
      </c>
      <c r="F12" s="160">
        <v>0.04</v>
      </c>
      <c r="G12" s="160">
        <v>4.9814328291723935E-2</v>
      </c>
      <c r="H12" s="160">
        <v>4.7564133746490038E-2</v>
      </c>
    </row>
    <row r="13" spans="1:13" s="8" customFormat="1" ht="12.75" customHeight="1" x14ac:dyDescent="0.25">
      <c r="A13" s="12" t="s">
        <v>307</v>
      </c>
      <c r="B13" s="161"/>
      <c r="C13" s="160"/>
      <c r="D13" s="160"/>
      <c r="E13" s="160"/>
      <c r="F13" s="161"/>
      <c r="G13" s="161"/>
      <c r="H13" s="160"/>
    </row>
    <row r="14" spans="1:13" s="8" customFormat="1" ht="12.75" customHeight="1" x14ac:dyDescent="0.25">
      <c r="A14" s="15" t="s">
        <v>303</v>
      </c>
      <c r="B14" s="161">
        <v>0.27</v>
      </c>
      <c r="C14" s="160">
        <v>0.21000000000000002</v>
      </c>
      <c r="D14" s="160">
        <v>0.24364193189013919</v>
      </c>
      <c r="E14" s="160">
        <v>0.16722133265282926</v>
      </c>
      <c r="F14" s="160">
        <v>0.18</v>
      </c>
      <c r="G14" s="160">
        <v>0.17693376037781047</v>
      </c>
      <c r="H14" s="160">
        <v>0.17008760194368211</v>
      </c>
    </row>
    <row r="15" spans="1:13" s="8" customFormat="1" ht="12.75" customHeight="1" x14ac:dyDescent="0.25">
      <c r="A15" s="15" t="s">
        <v>304</v>
      </c>
      <c r="B15" s="161">
        <v>0.23</v>
      </c>
      <c r="C15" s="160">
        <v>0.22000000000000003</v>
      </c>
      <c r="D15" s="160">
        <v>0.25118473671233177</v>
      </c>
      <c r="E15" s="160">
        <v>0.23755328345983029</v>
      </c>
      <c r="F15" s="160">
        <v>0.19</v>
      </c>
      <c r="G15" s="160">
        <v>0.18406849780614126</v>
      </c>
      <c r="H15" s="160">
        <v>0.18276902983939633</v>
      </c>
    </row>
    <row r="16" spans="1:13" s="8" customFormat="1" ht="12.75" customHeight="1" x14ac:dyDescent="0.25">
      <c r="A16" s="15" t="s">
        <v>305</v>
      </c>
      <c r="B16" s="161">
        <v>0.21</v>
      </c>
      <c r="C16" s="160">
        <v>0.21</v>
      </c>
      <c r="D16" s="160">
        <v>0.23173689573806958</v>
      </c>
      <c r="E16" s="160">
        <v>0.32869108902104927</v>
      </c>
      <c r="F16" s="160">
        <v>0.36</v>
      </c>
      <c r="G16" s="160">
        <v>0.34785511171271688</v>
      </c>
      <c r="H16" s="160">
        <v>0.34503759521378469</v>
      </c>
    </row>
    <row r="17" spans="1:8" s="8" customFormat="1" ht="12.75" customHeight="1" x14ac:dyDescent="0.25">
      <c r="A17" s="15" t="s">
        <v>201</v>
      </c>
      <c r="B17" s="161">
        <v>0.17</v>
      </c>
      <c r="C17" s="160">
        <v>0.2</v>
      </c>
      <c r="D17" s="160">
        <v>9.8512925597155548E-2</v>
      </c>
      <c r="E17" s="160">
        <v>5.7303338436040352E-2</v>
      </c>
      <c r="F17" s="160">
        <v>0.05</v>
      </c>
      <c r="G17" s="160">
        <v>5.6818963527020656E-2</v>
      </c>
      <c r="H17" s="160">
        <v>6.0587849870541152E-2</v>
      </c>
    </row>
    <row r="18" spans="1:8" s="8" customFormat="1" ht="12.75" customHeight="1" x14ac:dyDescent="0.25">
      <c r="A18" s="15" t="s">
        <v>306</v>
      </c>
      <c r="B18" s="161">
        <v>0.1</v>
      </c>
      <c r="C18" s="160">
        <v>0.1</v>
      </c>
      <c r="D18" s="160">
        <v>0.11336607646801423</v>
      </c>
      <c r="E18" s="160">
        <v>0.12529245664865116</v>
      </c>
      <c r="F18" s="160">
        <v>0.13</v>
      </c>
      <c r="G18" s="160">
        <v>0.12493181574272727</v>
      </c>
      <c r="H18" s="160">
        <v>0.12057143193152194</v>
      </c>
    </row>
    <row r="19" spans="1:8" s="8" customFormat="1" ht="12.75" customHeight="1" x14ac:dyDescent="0.25">
      <c r="A19" s="15" t="s">
        <v>82</v>
      </c>
      <c r="B19" s="161">
        <v>0.02</v>
      </c>
      <c r="C19" s="160">
        <v>0.05</v>
      </c>
      <c r="D19" s="160">
        <v>6.1557433594289709E-2</v>
      </c>
      <c r="E19" s="160">
        <v>8.3938499781599785E-2</v>
      </c>
      <c r="F19" s="160">
        <v>0.09</v>
      </c>
      <c r="G19" s="160">
        <v>0.10939184975534412</v>
      </c>
      <c r="H19" s="160">
        <v>0.12094649120107373</v>
      </c>
    </row>
  </sheetData>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9140-292B-4D07-A6A1-43A3452EED79}">
  <sheetPr>
    <pageSetUpPr fitToPage="1"/>
  </sheetPr>
  <dimension ref="A1:N59"/>
  <sheetViews>
    <sheetView showGridLines="0" zoomScaleNormal="100" zoomScaleSheetLayoutView="100" workbookViewId="0"/>
  </sheetViews>
  <sheetFormatPr defaultColWidth="9.140625" defaultRowHeight="12.75" customHeight="1" x14ac:dyDescent="0.2"/>
  <cols>
    <col min="1" max="1" width="79.28515625" style="6" customWidth="1"/>
    <col min="2" max="8" width="13.42578125" style="6" customWidth="1"/>
    <col min="9" max="9" width="3.5703125" style="6" customWidth="1"/>
    <col min="10" max="11" width="9.5703125" style="6" customWidth="1"/>
    <col min="12" max="12" width="12.28515625" style="6" bestFit="1" customWidth="1"/>
    <col min="13" max="13" width="13.140625" style="6" bestFit="1" customWidth="1"/>
    <col min="14" max="16384" width="9.140625" style="6"/>
  </cols>
  <sheetData>
    <row r="1" spans="1:14" s="3" customFormat="1" ht="27.95" customHeight="1" x14ac:dyDescent="0.25">
      <c r="A1" s="1" t="s">
        <v>0</v>
      </c>
      <c r="B1" s="2"/>
      <c r="C1" s="2"/>
      <c r="D1" s="2"/>
      <c r="E1" s="2"/>
      <c r="F1" s="2"/>
      <c r="G1" s="2"/>
      <c r="H1" s="2"/>
      <c r="I1" s="179"/>
      <c r="J1" s="179"/>
      <c r="K1" s="179"/>
    </row>
    <row r="2" spans="1:14" s="10" customFormat="1" ht="12.75" customHeight="1" x14ac:dyDescent="0.2">
      <c r="I2" s="180"/>
      <c r="J2" s="180"/>
      <c r="K2" s="180"/>
    </row>
    <row r="3" spans="1:14" s="3" customFormat="1" ht="18" customHeight="1" x14ac:dyDescent="0.25">
      <c r="A3" s="4" t="s">
        <v>308</v>
      </c>
      <c r="B3" s="5"/>
      <c r="C3" s="5"/>
      <c r="D3" s="5"/>
      <c r="E3" s="5"/>
      <c r="F3" s="5"/>
      <c r="G3" s="5"/>
      <c r="H3" s="5"/>
      <c r="I3" s="179"/>
      <c r="J3" s="179"/>
      <c r="K3" s="179"/>
    </row>
    <row r="4" spans="1:14" s="8" customFormat="1" ht="25.5" customHeight="1" x14ac:dyDescent="0.25">
      <c r="A4" s="189" t="s">
        <v>5</v>
      </c>
      <c r="B4" s="189"/>
      <c r="C4" s="189"/>
      <c r="D4" s="189"/>
      <c r="E4" s="189"/>
      <c r="F4" s="189"/>
      <c r="G4" s="189"/>
      <c r="H4" s="189"/>
      <c r="I4" s="72"/>
      <c r="J4" s="72"/>
      <c r="K4" s="72"/>
    </row>
    <row r="5" spans="1:14" s="8" customFormat="1" ht="12.75" customHeight="1" thickBot="1" x14ac:dyDescent="0.3">
      <c r="B5" s="11" t="s">
        <v>6</v>
      </c>
      <c r="C5" s="11" t="s">
        <v>7</v>
      </c>
      <c r="D5" s="11" t="s">
        <v>8</v>
      </c>
      <c r="E5" s="11" t="s">
        <v>9</v>
      </c>
      <c r="F5" s="11" t="s">
        <v>10</v>
      </c>
      <c r="G5" s="11" t="s">
        <v>11</v>
      </c>
      <c r="H5" s="11" t="s">
        <v>12</v>
      </c>
      <c r="I5" s="13"/>
      <c r="J5" s="13"/>
      <c r="K5" s="13"/>
    </row>
    <row r="6" spans="1:14" s="8" customFormat="1" ht="12.75" customHeight="1" x14ac:dyDescent="0.25">
      <c r="A6" s="12" t="s">
        <v>309</v>
      </c>
    </row>
    <row r="7" spans="1:14" s="8" customFormat="1" ht="12.75" customHeight="1" x14ac:dyDescent="0.25">
      <c r="A7" s="15" t="s">
        <v>15</v>
      </c>
      <c r="B7" s="38">
        <f>'Group Result'!B109</f>
        <v>61.315558620000083</v>
      </c>
      <c r="C7" s="38">
        <f>'Group Result'!C109</f>
        <v>67.460210050000072</v>
      </c>
      <c r="D7" s="38">
        <f>'Group Result'!D109</f>
        <v>65.900000000000091</v>
      </c>
      <c r="E7" s="38">
        <f>'Group Result'!E109</f>
        <v>81.899999999999835</v>
      </c>
      <c r="F7" s="38">
        <f>'Group Result'!F109</f>
        <v>119.59999999999995</v>
      </c>
      <c r="G7" s="38">
        <f>'Group Result'!G109</f>
        <v>114.89999999999992</v>
      </c>
      <c r="H7" s="38">
        <f>'Group Result'!H109</f>
        <v>98.599999999999895</v>
      </c>
      <c r="I7" s="38"/>
      <c r="J7" s="38"/>
      <c r="K7" s="38"/>
    </row>
    <row r="8" spans="1:14" s="8" customFormat="1" ht="12.75" customHeight="1" x14ac:dyDescent="0.25">
      <c r="A8" s="15" t="s">
        <v>16</v>
      </c>
      <c r="B8" s="38">
        <f>'Group Result'!B104</f>
        <v>56.465558620000081</v>
      </c>
      <c r="C8" s="38">
        <f>'Group Result'!C104</f>
        <v>67.504861390000059</v>
      </c>
      <c r="D8" s="38">
        <f>'Group Result'!D104</f>
        <v>60.600000000000094</v>
      </c>
      <c r="E8" s="38">
        <f>'Group Result'!E104</f>
        <v>75.499999999999829</v>
      </c>
      <c r="F8" s="38">
        <f>'Group Result'!F104</f>
        <v>113.89999999999995</v>
      </c>
      <c r="G8" s="38">
        <f>'Group Result'!G104</f>
        <v>110.09999999999992</v>
      </c>
      <c r="H8" s="38">
        <f>'Group Result'!H104</f>
        <v>94.399999999999892</v>
      </c>
      <c r="I8" s="38"/>
      <c r="J8" s="38"/>
      <c r="K8" s="162"/>
    </row>
    <row r="9" spans="1:14" s="8" customFormat="1" ht="12.75" customHeight="1" x14ac:dyDescent="0.25">
      <c r="A9" s="163" t="s">
        <v>310</v>
      </c>
      <c r="B9" s="38">
        <f>'Group Result'!B9-'Group Result'!B101</f>
        <v>114.381</v>
      </c>
      <c r="C9" s="38">
        <f>'Group Result'!C9-'Group Result'!C101</f>
        <v>26.59</v>
      </c>
      <c r="D9" s="38">
        <f>'Group Result'!D9-'Group Result'!D101</f>
        <v>53.8</v>
      </c>
      <c r="E9" s="38">
        <f>'Group Result'!E9-'Group Result'!E101</f>
        <v>-196.4</v>
      </c>
      <c r="F9" s="38">
        <f>'Group Result'!F9-'Group Result'!F101</f>
        <v>27.085016139999301</v>
      </c>
      <c r="G9" s="38">
        <f>'Group Result'!G9-'Group Result'!G101</f>
        <v>9.6999999999999993</v>
      </c>
      <c r="H9" s="38">
        <f>'Group Result'!H9-'Group Result'!H101</f>
        <v>45.2</v>
      </c>
      <c r="I9" s="38"/>
      <c r="J9" s="38"/>
      <c r="K9" s="38"/>
      <c r="M9" s="164"/>
    </row>
    <row r="10" spans="1:14" s="8" customFormat="1" ht="12.75" customHeight="1" x14ac:dyDescent="0.25">
      <c r="A10" s="163" t="s">
        <v>311</v>
      </c>
      <c r="B10" s="38">
        <f>'Group Result'!B10-'Group Result'!B101</f>
        <v>27.204999999999998</v>
      </c>
      <c r="C10" s="38">
        <f>'Group Result'!C10-'Group Result'!C101</f>
        <v>25.585000000000001</v>
      </c>
      <c r="D10" s="38">
        <f>'Group Result'!D10-'Group Result'!D101</f>
        <v>49.099999999999994</v>
      </c>
      <c r="E10" s="38">
        <f>'Group Result'!E10-'Group Result'!E101</f>
        <v>-201.9</v>
      </c>
      <c r="F10" s="38">
        <f>'Group Result'!F10-'Group Result'!F101</f>
        <v>22.1</v>
      </c>
      <c r="G10" s="38">
        <f>'Group Result'!G10-'Group Result'!G101</f>
        <v>5.5</v>
      </c>
      <c r="H10" s="38">
        <f>'Group Result'!H10-'Group Result'!H101</f>
        <v>-3.1999999999999997</v>
      </c>
      <c r="I10" s="38"/>
      <c r="J10" s="38"/>
      <c r="K10" s="162"/>
      <c r="M10" s="164"/>
    </row>
    <row r="11" spans="1:14" s="8" customFormat="1" ht="12.75" customHeight="1" x14ac:dyDescent="0.25">
      <c r="A11" s="12" t="s">
        <v>312</v>
      </c>
      <c r="B11" s="13"/>
      <c r="C11" s="13"/>
      <c r="D11" s="13"/>
      <c r="E11" s="13"/>
      <c r="F11" s="13"/>
      <c r="G11" s="13"/>
      <c r="H11" s="13"/>
      <c r="I11" s="13"/>
      <c r="J11" s="13"/>
      <c r="K11" s="13"/>
      <c r="M11" s="164"/>
    </row>
    <row r="12" spans="1:14" s="8" customFormat="1" ht="12.75" customHeight="1" x14ac:dyDescent="0.25">
      <c r="A12" s="15" t="s">
        <v>313</v>
      </c>
      <c r="B12" s="165">
        <f>A40</f>
        <v>351076027</v>
      </c>
      <c r="C12" s="165">
        <f>A41</f>
        <v>351076027</v>
      </c>
      <c r="D12" s="165">
        <f>SUM(A42*D42/SUM($D$42:$D$45),A43*D43/SUM($D$42:$D$45),A44*D44/SUM($D$42:$D$45),A45*D45/SUM($D$42:$D$45))</f>
        <v>531842426.41847825</v>
      </c>
      <c r="E12" s="165">
        <f>A46</f>
        <v>649324356</v>
      </c>
      <c r="F12" s="165">
        <f>A47</f>
        <v>649324356</v>
      </c>
      <c r="G12" s="165">
        <f>A48*D48/SUM(D48:D49)+A49*D49/SUM(D48:D49)</f>
        <v>651454627.40883982</v>
      </c>
      <c r="H12" s="165">
        <f>A50*D50/SUM(D50:D52)+A51*D51/SUM(D50:D52)+A52*D52/SUM(D50:D52)</f>
        <v>655988397.81521738</v>
      </c>
      <c r="I12" s="165"/>
      <c r="J12" s="165"/>
      <c r="K12" s="165"/>
      <c r="L12" s="165"/>
      <c r="M12" s="164"/>
    </row>
    <row r="13" spans="1:14" s="8" customFormat="1" ht="12.75" customHeight="1" x14ac:dyDescent="0.25">
      <c r="A13" s="15" t="s">
        <v>314</v>
      </c>
      <c r="B13" s="166">
        <v>1014459.8641304348</v>
      </c>
      <c r="C13" s="166">
        <v>892726.07692307699</v>
      </c>
      <c r="D13" s="166">
        <v>792719</v>
      </c>
      <c r="E13" s="166">
        <v>792719</v>
      </c>
      <c r="F13" s="166">
        <v>792719</v>
      </c>
      <c r="G13" s="166">
        <v>671465.82872928178</v>
      </c>
      <c r="H13" s="166">
        <v>562345.53260869568</v>
      </c>
      <c r="I13" s="166"/>
      <c r="J13" s="166"/>
      <c r="K13" s="166"/>
      <c r="M13" s="164"/>
      <c r="N13" s="167"/>
    </row>
    <row r="14" spans="1:14" s="8" customFormat="1" ht="12.75" customHeight="1" x14ac:dyDescent="0.25">
      <c r="A14" s="15" t="s">
        <v>315</v>
      </c>
      <c r="B14" s="166">
        <v>690738.7663043479</v>
      </c>
      <c r="C14" s="166">
        <v>878317.74175824178</v>
      </c>
      <c r="D14" s="166">
        <v>840588.73913043481</v>
      </c>
      <c r="E14" s="166">
        <v>1799506.5120510398</v>
      </c>
      <c r="F14" s="166">
        <v>1985133</v>
      </c>
      <c r="G14" s="166">
        <v>3282118.1657458562</v>
      </c>
      <c r="H14" s="166">
        <v>1627055.7391304348</v>
      </c>
      <c r="I14" s="166"/>
      <c r="J14" s="166"/>
      <c r="K14" s="166"/>
      <c r="M14" s="164"/>
    </row>
    <row r="15" spans="1:14" s="8" customFormat="1" ht="12.75" customHeight="1" x14ac:dyDescent="0.25">
      <c r="A15" s="12" t="s">
        <v>24</v>
      </c>
      <c r="M15" s="164"/>
    </row>
    <row r="16" spans="1:14" s="8" customFormat="1" ht="12.75" customHeight="1" x14ac:dyDescent="0.25">
      <c r="A16" s="15" t="s">
        <v>25</v>
      </c>
      <c r="B16" s="38">
        <f>B7*1000000/(B12-B13)*100</f>
        <v>17.515649924575023</v>
      </c>
      <c r="C16" s="38">
        <f>C7*1000000/(C12-C13)*100</f>
        <v>19.264256711321231</v>
      </c>
      <c r="D16" s="38">
        <f>ROUND(D7*1000000/(D12-D13)*100,1)</f>
        <v>12.4</v>
      </c>
      <c r="E16" s="38">
        <f t="shared" ref="E16" si="0">ROUND(E7*1000000/(E12-E13)*100,1)</f>
        <v>12.6</v>
      </c>
      <c r="F16" s="38">
        <f>ROUND(F7*1000000/(F12-F13)*100,1)</f>
        <v>18.399999999999999</v>
      </c>
      <c r="G16" s="38">
        <f>ROUND(G7*1000000/(G12-G13)*100,1)</f>
        <v>17.7</v>
      </c>
      <c r="H16" s="38">
        <f>ROUND(H7*1000000/(H12-H13)*100,1)</f>
        <v>15</v>
      </c>
      <c r="I16" s="38"/>
      <c r="J16" s="38"/>
      <c r="K16" s="38"/>
      <c r="M16" s="164"/>
    </row>
    <row r="17" spans="1:13" s="8" customFormat="1" ht="12.75" customHeight="1" x14ac:dyDescent="0.25">
      <c r="A17" s="15" t="s">
        <v>26</v>
      </c>
      <c r="B17" s="38">
        <f>B8*1000000/(B12-B13)*100</f>
        <v>16.130179351589337</v>
      </c>
      <c r="C17" s="38">
        <f>C8*1000000/(C12-C13)*100</f>
        <v>19.277007559200694</v>
      </c>
      <c r="D17" s="38">
        <f>ROUND(D8*1000000/(D12-D13)*100,1)</f>
        <v>11.4</v>
      </c>
      <c r="E17" s="38">
        <f t="shared" ref="E17:F17" si="1">ROUND(E8*1000000/(E12-E13)*100,1)</f>
        <v>11.6</v>
      </c>
      <c r="F17" s="38">
        <f t="shared" si="1"/>
        <v>17.600000000000001</v>
      </c>
      <c r="G17" s="38">
        <f>ROUND(G8*1000000/(G12-G13)*100,1)</f>
        <v>16.899999999999999</v>
      </c>
      <c r="H17" s="38">
        <f>ROUND(H8*1000000/(H12-H13)*100,1)</f>
        <v>14.4</v>
      </c>
      <c r="I17" s="38"/>
      <c r="J17" s="38"/>
      <c r="K17" s="38"/>
      <c r="M17" s="164"/>
    </row>
    <row r="18" spans="1:13" s="8" customFormat="1" ht="12.75" customHeight="1" x14ac:dyDescent="0.25">
      <c r="A18" s="15" t="s">
        <v>27</v>
      </c>
      <c r="B18" s="38">
        <f>B9*1000000/(B12-B13)*100</f>
        <v>32.674538063644462</v>
      </c>
      <c r="C18" s="38">
        <f>C9*1000000/(C12-C13)*100</f>
        <v>7.5931661875107217</v>
      </c>
      <c r="D18" s="38">
        <f>D9*1000000/(D12-D13)*100</f>
        <v>10.130878380769822</v>
      </c>
      <c r="E18" s="38">
        <f t="shared" ref="E18:H18" si="2">E9*1000000/(E12-E13)*100</f>
        <v>-30.28379631694051</v>
      </c>
      <c r="F18" s="38">
        <f t="shared" si="2"/>
        <v>4.1763600408593948</v>
      </c>
      <c r="G18" s="38">
        <f t="shared" si="2"/>
        <v>1.490511828309796</v>
      </c>
      <c r="H18" s="38">
        <f t="shared" si="2"/>
        <v>6.8962775957081615</v>
      </c>
      <c r="I18" s="38"/>
      <c r="J18" s="38"/>
      <c r="K18" s="38"/>
      <c r="M18" s="164"/>
    </row>
    <row r="19" spans="1:13" s="8" customFormat="1" ht="12.75" customHeight="1" x14ac:dyDescent="0.25">
      <c r="A19" s="15" t="s">
        <v>28</v>
      </c>
      <c r="B19" s="38">
        <f t="shared" ref="B19:H19" si="3">IF(B9&lt;0,B18,B9*1000000/(SUM(B12,B14)-B13)*100)</f>
        <v>32.610191886208518</v>
      </c>
      <c r="C19" s="38">
        <f t="shared" si="3"/>
        <v>7.5741689168777953</v>
      </c>
      <c r="D19" s="38">
        <f t="shared" si="3"/>
        <v>10.114867744091741</v>
      </c>
      <c r="E19" s="38">
        <f t="shared" si="3"/>
        <v>-30.28379631694051</v>
      </c>
      <c r="F19" s="38">
        <f t="shared" si="3"/>
        <v>4.163615357679296</v>
      </c>
      <c r="G19" s="38">
        <f t="shared" si="3"/>
        <v>1.4830323975871387</v>
      </c>
      <c r="H19" s="38">
        <f t="shared" si="3"/>
        <v>6.8792003946360651</v>
      </c>
      <c r="I19" s="38"/>
      <c r="J19" s="38"/>
      <c r="K19" s="38"/>
      <c r="M19" s="164"/>
    </row>
    <row r="20" spans="1:13" s="8" customFormat="1" ht="12.75" customHeight="1" x14ac:dyDescent="0.25">
      <c r="A20" s="15" t="s">
        <v>29</v>
      </c>
      <c r="B20" s="38">
        <f>B10*1000000/(B12-B13)*100</f>
        <v>7.7714900903248578</v>
      </c>
      <c r="C20" s="38">
        <f>C10*1000000/(C12-C13)*100</f>
        <v>7.3061736332253409</v>
      </c>
      <c r="D20" s="38">
        <f>D10*1000000/(D12-D13)*100</f>
        <v>9.2458388196245007</v>
      </c>
      <c r="E20" s="38">
        <f t="shared" ref="E20:H20" si="4">E10*1000000/(E12-E13)*100</f>
        <v>-31.131865969400657</v>
      </c>
      <c r="F20" s="38">
        <f t="shared" si="4"/>
        <v>3.407698058067135</v>
      </c>
      <c r="G20" s="38">
        <f t="shared" si="4"/>
        <v>0.84513557275297713</v>
      </c>
      <c r="H20" s="38">
        <f t="shared" si="4"/>
        <v>-0.4882320421740291</v>
      </c>
      <c r="I20" s="38"/>
      <c r="J20" s="38"/>
      <c r="K20" s="38"/>
      <c r="M20" s="164"/>
    </row>
    <row r="21" spans="1:13" s="8" customFormat="1" ht="12.75" customHeight="1" x14ac:dyDescent="0.25">
      <c r="A21" s="12" t="s">
        <v>316</v>
      </c>
      <c r="B21" s="38"/>
      <c r="C21" s="38"/>
      <c r="D21" s="38"/>
      <c r="E21" s="38"/>
      <c r="F21" s="38"/>
      <c r="G21" s="38"/>
      <c r="H21" s="38"/>
      <c r="I21" s="38"/>
      <c r="J21" s="38"/>
      <c r="K21" s="38"/>
      <c r="M21" s="164"/>
    </row>
    <row r="22" spans="1:13" s="8" customFormat="1" ht="12.75" customHeight="1" x14ac:dyDescent="0.25">
      <c r="A22" s="15" t="str">
        <f>'Group Result'!A14</f>
        <v>Average FUMA (Continuing Operations) ($b)</v>
      </c>
      <c r="B22" s="38">
        <f>'Group Result'!B14</f>
        <v>67.502322552257141</v>
      </c>
      <c r="C22" s="38">
        <f>'Group Result'!C14</f>
        <v>106.4602411439575</v>
      </c>
      <c r="D22" s="38">
        <f>'Group Result'!D14</f>
        <v>102.48066290299833</v>
      </c>
      <c r="E22" s="38">
        <f>'Group Result'!E14</f>
        <v>156.20977954576747</v>
      </c>
      <c r="F22" s="38">
        <f>'Group Result'!F14</f>
        <v>314.27077641624089</v>
      </c>
      <c r="G22" s="38">
        <f>'Group Result'!G14</f>
        <v>306.82104700244588</v>
      </c>
      <c r="H22" s="38">
        <f>'Group Result'!H14</f>
        <v>291.85721517198328</v>
      </c>
      <c r="I22" s="38"/>
      <c r="J22" s="38"/>
      <c r="K22" s="38"/>
      <c r="M22" s="164"/>
    </row>
    <row r="23" spans="1:13" s="8" customFormat="1" ht="12.75" customHeight="1" x14ac:dyDescent="0.25">
      <c r="A23" s="15" t="s">
        <v>42</v>
      </c>
      <c r="B23" s="34">
        <f>B26/(B22*1000)*B34/B33*10000</f>
        <v>74.893505542545654</v>
      </c>
      <c r="C23" s="34">
        <f t="shared" ref="C23:H23" si="5">C26/(C22*1000)*C34/C33*10000</f>
        <v>63.129887407036158</v>
      </c>
      <c r="D23" s="34">
        <f t="shared" si="5"/>
        <v>64.322580138004298</v>
      </c>
      <c r="E23" s="34">
        <f t="shared" si="5"/>
        <v>51.58596387262638</v>
      </c>
      <c r="F23" s="34">
        <f t="shared" si="5"/>
        <v>47.895902954589125</v>
      </c>
      <c r="G23" s="34">
        <f t="shared" si="5"/>
        <v>47.670183035053206</v>
      </c>
      <c r="H23" s="34">
        <f t="shared" si="5"/>
        <v>46.98629100328187</v>
      </c>
      <c r="I23" s="38"/>
      <c r="J23" s="38"/>
      <c r="K23" s="38"/>
      <c r="M23" s="164"/>
    </row>
    <row r="24" spans="1:13" s="8" customFormat="1" ht="12.75" customHeight="1" x14ac:dyDescent="0.25">
      <c r="A24" s="15" t="s">
        <v>43</v>
      </c>
      <c r="B24" s="34">
        <f>SUM(B26,B29)/(B22*1000)*B34/B33*10000</f>
        <v>26.669802513635712</v>
      </c>
      <c r="C24" s="34">
        <f t="shared" ref="C24:H24" si="6">SUM(C26,C29)/(C22*1000)*C34/C33*10000</f>
        <v>21.436811218594009</v>
      </c>
      <c r="D24" s="34">
        <f t="shared" si="6"/>
        <v>19.937483461373596</v>
      </c>
      <c r="E24" s="34">
        <f t="shared" si="6"/>
        <v>15.87856245328588</v>
      </c>
      <c r="F24" s="34">
        <f t="shared" si="6"/>
        <v>12.643053982346075</v>
      </c>
      <c r="G24" s="34">
        <f t="shared" si="6"/>
        <v>12.369403622221164</v>
      </c>
      <c r="H24" s="34">
        <f t="shared" si="6"/>
        <v>11.799247964949702</v>
      </c>
      <c r="I24" s="38"/>
      <c r="J24" s="38"/>
      <c r="K24" s="38"/>
      <c r="M24" s="164"/>
    </row>
    <row r="25" spans="1:13" s="8" customFormat="1" ht="12.75" customHeight="1" x14ac:dyDescent="0.25">
      <c r="A25" s="12" t="s">
        <v>44</v>
      </c>
      <c r="B25" s="38"/>
      <c r="C25" s="38"/>
      <c r="D25" s="38"/>
      <c r="E25" s="38"/>
      <c r="F25" s="38"/>
      <c r="G25" s="38"/>
      <c r="H25" s="38"/>
      <c r="I25" s="38"/>
      <c r="J25" s="38"/>
      <c r="K25" s="38"/>
      <c r="M25" s="164"/>
    </row>
    <row r="26" spans="1:13" s="8" customFormat="1" ht="12.75" customHeight="1" x14ac:dyDescent="0.25">
      <c r="A26" s="15" t="s">
        <v>110</v>
      </c>
      <c r="B26" s="38">
        <f>'Group Result'!B69</f>
        <v>254.15555862000008</v>
      </c>
      <c r="C26" s="38">
        <f>'Group Result'!C69</f>
        <v>334.20486139000002</v>
      </c>
      <c r="D26" s="38">
        <f>'Group Result'!D69</f>
        <v>332.30000000000007</v>
      </c>
      <c r="E26" s="38">
        <f>'Group Result'!E69</f>
        <v>399.59999999999985</v>
      </c>
      <c r="F26" s="38">
        <f>'Group Result'!F69</f>
        <v>758.8</v>
      </c>
      <c r="G26" s="38">
        <f>'Group Result'!G69</f>
        <v>725.3</v>
      </c>
      <c r="H26" s="38">
        <f>'Group Result'!H69</f>
        <v>691.3</v>
      </c>
      <c r="I26" s="38"/>
      <c r="J26" s="38"/>
      <c r="K26" s="38"/>
      <c r="M26" s="164"/>
    </row>
    <row r="27" spans="1:13" s="8" customFormat="1" ht="12.75" customHeight="1" x14ac:dyDescent="0.25">
      <c r="A27" s="15" t="s">
        <v>317</v>
      </c>
      <c r="B27" s="38">
        <f>-'Group Result'!B62</f>
        <v>0.04</v>
      </c>
      <c r="C27" s="38">
        <f>-'Group Result'!C62</f>
        <v>0.03</v>
      </c>
      <c r="D27" s="38">
        <f>-'Group Result'!D62</f>
        <v>0</v>
      </c>
      <c r="E27" s="38">
        <f>-'Group Result'!E62</f>
        <v>0.1</v>
      </c>
      <c r="F27" s="38">
        <f>-'Group Result'!F62</f>
        <v>0</v>
      </c>
      <c r="G27" s="38">
        <f>-'Group Result'!G62</f>
        <v>0</v>
      </c>
      <c r="H27" s="38">
        <f>-'Group Result'!H62</f>
        <v>0</v>
      </c>
      <c r="I27" s="38"/>
      <c r="J27" s="38"/>
      <c r="K27" s="38"/>
    </row>
    <row r="28" spans="1:13" s="8" customFormat="1" ht="12.75" customHeight="1" x14ac:dyDescent="0.25">
      <c r="A28" s="15" t="s">
        <v>318</v>
      </c>
      <c r="B28" s="38">
        <v>8.0657532800000009</v>
      </c>
      <c r="C28" s="38">
        <v>2.21071821</v>
      </c>
      <c r="D28" s="38">
        <v>0</v>
      </c>
      <c r="E28" s="38">
        <v>0</v>
      </c>
      <c r="F28" s="38">
        <v>0</v>
      </c>
      <c r="G28" s="38">
        <v>0</v>
      </c>
      <c r="H28" s="38">
        <v>0</v>
      </c>
      <c r="I28" s="38"/>
      <c r="J28" s="38"/>
      <c r="K28" s="38"/>
    </row>
    <row r="29" spans="1:13" s="8" customFormat="1" ht="12.75" customHeight="1" x14ac:dyDescent="0.25">
      <c r="A29" s="15" t="s">
        <v>319</v>
      </c>
      <c r="B29" s="38">
        <f>'Group Result'!B85</f>
        <v>-163.65</v>
      </c>
      <c r="C29" s="38">
        <f>'Group Result'!C85</f>
        <v>-220.71999999999997</v>
      </c>
      <c r="D29" s="38">
        <f>'Group Result'!D85</f>
        <v>-229.29999999999998</v>
      </c>
      <c r="E29" s="38">
        <f>'Group Result'!E85</f>
        <v>-276.60000000000002</v>
      </c>
      <c r="F29" s="38">
        <f>'Group Result'!F85</f>
        <v>-558.5</v>
      </c>
      <c r="G29" s="38">
        <f>'Group Result'!G85</f>
        <v>-537.1</v>
      </c>
      <c r="H29" s="38">
        <f>'Group Result'!H85</f>
        <v>-517.70000000000005</v>
      </c>
      <c r="I29" s="38"/>
      <c r="J29" s="38"/>
      <c r="K29" s="38"/>
    </row>
    <row r="30" spans="1:13" s="8" customFormat="1" ht="12.75" customHeight="1" x14ac:dyDescent="0.25">
      <c r="A30" s="15" t="s">
        <v>44</v>
      </c>
      <c r="B30" s="168">
        <f t="shared" ref="B30:H30" si="7">ABS(B29/SUM(B26:B28))</f>
        <v>0.62399596347020314</v>
      </c>
      <c r="C30" s="168">
        <f t="shared" si="7"/>
        <v>0.65603477466523386</v>
      </c>
      <c r="D30" s="168">
        <f t="shared" si="7"/>
        <v>0.69003912127595524</v>
      </c>
      <c r="E30" s="168">
        <f t="shared" si="7"/>
        <v>0.69201901426069579</v>
      </c>
      <c r="F30" s="74">
        <f t="shared" si="7"/>
        <v>0.73603057459146026</v>
      </c>
      <c r="G30" s="74">
        <f t="shared" si="7"/>
        <v>0.74052116365641807</v>
      </c>
      <c r="H30" s="74">
        <f t="shared" si="7"/>
        <v>0.74887892376681631</v>
      </c>
      <c r="I30" s="74"/>
      <c r="J30" s="74"/>
      <c r="K30" s="74"/>
    </row>
    <row r="31" spans="1:13" s="8" customFormat="1" ht="12.75" customHeight="1" x14ac:dyDescent="0.25">
      <c r="A31" s="12" t="s">
        <v>45</v>
      </c>
      <c r="B31" s="38"/>
      <c r="C31" s="169"/>
      <c r="D31" s="38"/>
      <c r="E31" s="38"/>
      <c r="F31" s="38"/>
      <c r="G31" s="38"/>
      <c r="H31" s="38"/>
      <c r="I31" s="38"/>
      <c r="J31" s="38"/>
      <c r="K31" s="38"/>
    </row>
    <row r="32" spans="1:13" s="8" customFormat="1" ht="12.75" customHeight="1" x14ac:dyDescent="0.25">
      <c r="A32" s="15" t="s">
        <v>320</v>
      </c>
      <c r="B32" s="38">
        <v>1692.9992529142858</v>
      </c>
      <c r="C32" s="38">
        <v>1725.4100725842857</v>
      </c>
      <c r="D32" s="38">
        <v>2308.4588748914289</v>
      </c>
      <c r="E32" s="38">
        <v>2696.7</v>
      </c>
      <c r="F32" s="38">
        <v>2479.4369999999999</v>
      </c>
      <c r="G32" s="38">
        <v>2452.1464058742858</v>
      </c>
      <c r="H32" s="38">
        <v>2379.1042272057143</v>
      </c>
      <c r="I32" s="38"/>
      <c r="J32" s="38"/>
      <c r="K32" s="38"/>
    </row>
    <row r="33" spans="1:11" s="8" customFormat="1" ht="12.75" customHeight="1" x14ac:dyDescent="0.25">
      <c r="A33" s="15" t="s">
        <v>321</v>
      </c>
      <c r="B33" s="101">
        <v>184</v>
      </c>
      <c r="C33" s="101">
        <v>182</v>
      </c>
      <c r="D33" s="101">
        <v>184</v>
      </c>
      <c r="E33" s="101">
        <v>181</v>
      </c>
      <c r="F33" s="101">
        <v>184</v>
      </c>
      <c r="G33" s="101">
        <v>181</v>
      </c>
      <c r="H33" s="101">
        <f>SUM(D50:D52)</f>
        <v>184</v>
      </c>
      <c r="I33" s="101"/>
      <c r="J33" s="101"/>
      <c r="K33" s="101"/>
    </row>
    <row r="34" spans="1:11" s="8" customFormat="1" ht="12.75" customHeight="1" x14ac:dyDescent="0.25">
      <c r="A34" s="15" t="s">
        <v>322</v>
      </c>
      <c r="B34" s="101">
        <v>366</v>
      </c>
      <c r="C34" s="101">
        <v>366</v>
      </c>
      <c r="D34" s="101">
        <v>365</v>
      </c>
      <c r="E34" s="101">
        <v>365</v>
      </c>
      <c r="F34" s="101">
        <v>365</v>
      </c>
      <c r="G34" s="101">
        <v>365</v>
      </c>
      <c r="H34" s="101">
        <v>365</v>
      </c>
      <c r="I34" s="101"/>
      <c r="J34" s="101"/>
      <c r="K34" s="101"/>
    </row>
    <row r="35" spans="1:11" s="8" customFormat="1" ht="12.75" customHeight="1" x14ac:dyDescent="0.25">
      <c r="A35" s="15" t="s">
        <v>45</v>
      </c>
      <c r="B35" s="168">
        <f t="shared" ref="B35:G35" si="8">B7/B32*B34/B33</f>
        <v>7.2040577434864472E-2</v>
      </c>
      <c r="C35" s="168">
        <f t="shared" si="8"/>
        <v>7.8625796409295942E-2</v>
      </c>
      <c r="D35" s="168">
        <f t="shared" si="8"/>
        <v>5.6628924560940819E-2</v>
      </c>
      <c r="E35" s="168">
        <f t="shared" si="8"/>
        <v>6.1244283221543211E-2</v>
      </c>
      <c r="F35" s="74">
        <f t="shared" si="8"/>
        <v>9.5687045083218458E-2</v>
      </c>
      <c r="G35" s="74">
        <f t="shared" si="8"/>
        <v>9.4490451032792605E-2</v>
      </c>
      <c r="H35" s="74">
        <f>H7/H32*H34/H33</f>
        <v>8.2212619803577566E-2</v>
      </c>
      <c r="I35" s="74"/>
      <c r="J35" s="74"/>
      <c r="K35" s="74"/>
    </row>
    <row r="36" spans="1:11" s="8" customFormat="1" ht="12.75" customHeight="1" x14ac:dyDescent="0.25">
      <c r="A36" s="12"/>
    </row>
    <row r="37" spans="1:11" s="3" customFormat="1" ht="18" customHeight="1" x14ac:dyDescent="0.25">
      <c r="A37" s="4" t="s">
        <v>323</v>
      </c>
      <c r="B37" s="5"/>
      <c r="C37" s="5"/>
      <c r="D37" s="5"/>
      <c r="E37" s="5"/>
      <c r="F37" s="5"/>
      <c r="G37" s="5"/>
      <c r="H37" s="5"/>
      <c r="I37" s="179"/>
      <c r="J37" s="179"/>
      <c r="K37" s="179"/>
    </row>
    <row r="38" spans="1:11" s="8" customFormat="1" ht="12.75" customHeight="1" x14ac:dyDescent="0.25">
      <c r="A38" s="26"/>
    </row>
    <row r="39" spans="1:11" s="8" customFormat="1" ht="12.75" customHeight="1" thickBot="1" x14ac:dyDescent="0.3">
      <c r="A39" s="35"/>
      <c r="B39" s="11" t="s">
        <v>324</v>
      </c>
      <c r="C39" s="11" t="s">
        <v>325</v>
      </c>
      <c r="D39" s="11" t="s">
        <v>326</v>
      </c>
    </row>
    <row r="40" spans="1:11" s="8" customFormat="1" ht="12.75" customHeight="1" x14ac:dyDescent="0.25">
      <c r="A40" s="170">
        <v>351076027</v>
      </c>
      <c r="B40" s="171">
        <v>43647</v>
      </c>
      <c r="C40" s="171">
        <v>43830</v>
      </c>
      <c r="D40" s="172">
        <f t="shared" ref="D40:D52" si="9">C40-B40+1</f>
        <v>184</v>
      </c>
    </row>
    <row r="41" spans="1:11" s="8" customFormat="1" ht="12.75" customHeight="1" x14ac:dyDescent="0.25">
      <c r="A41" s="170">
        <v>351076027</v>
      </c>
      <c r="B41" s="171">
        <v>43831</v>
      </c>
      <c r="C41" s="171">
        <v>44012</v>
      </c>
      <c r="D41" s="172">
        <f t="shared" si="9"/>
        <v>182</v>
      </c>
    </row>
    <row r="42" spans="1:11" s="8" customFormat="1" ht="12.75" customHeight="1" x14ac:dyDescent="0.25">
      <c r="A42" s="170">
        <v>351076027</v>
      </c>
      <c r="B42" s="171">
        <v>44013</v>
      </c>
      <c r="C42" s="171">
        <v>44080</v>
      </c>
      <c r="D42" s="172">
        <f t="shared" si="9"/>
        <v>68</v>
      </c>
    </row>
    <row r="43" spans="1:11" s="8" customFormat="1" ht="12.75" customHeight="1" x14ac:dyDescent="0.25">
      <c r="A43" s="170">
        <v>560345476</v>
      </c>
      <c r="B43" s="171">
        <v>44081</v>
      </c>
      <c r="C43" s="171">
        <v>44095</v>
      </c>
      <c r="D43" s="172">
        <f t="shared" si="9"/>
        <v>15</v>
      </c>
    </row>
    <row r="44" spans="1:11" s="8" customFormat="1" ht="12.75" customHeight="1" x14ac:dyDescent="0.25">
      <c r="A44" s="170">
        <v>648218885</v>
      </c>
      <c r="B44" s="171">
        <v>44096</v>
      </c>
      <c r="C44" s="171">
        <v>44096</v>
      </c>
      <c r="D44" s="172">
        <f t="shared" si="9"/>
        <v>1</v>
      </c>
    </row>
    <row r="45" spans="1:11" s="8" customFormat="1" ht="12.75" customHeight="1" x14ac:dyDescent="0.25">
      <c r="A45" s="170">
        <v>649324356</v>
      </c>
      <c r="B45" s="171">
        <v>44097</v>
      </c>
      <c r="C45" s="171">
        <v>44196</v>
      </c>
      <c r="D45" s="172">
        <f t="shared" si="9"/>
        <v>100</v>
      </c>
      <c r="G45" s="165"/>
    </row>
    <row r="46" spans="1:11" s="8" customFormat="1" ht="12.75" customHeight="1" x14ac:dyDescent="0.25">
      <c r="A46" s="170">
        <v>649324356</v>
      </c>
      <c r="B46" s="171">
        <v>44197</v>
      </c>
      <c r="C46" s="171">
        <v>44377</v>
      </c>
      <c r="D46" s="172">
        <f t="shared" si="9"/>
        <v>181</v>
      </c>
      <c r="E46" s="173"/>
      <c r="G46" s="174"/>
    </row>
    <row r="47" spans="1:11" s="8" customFormat="1" ht="12.75" customHeight="1" x14ac:dyDescent="0.25">
      <c r="A47" s="175">
        <v>649324356</v>
      </c>
      <c r="B47" s="176">
        <v>44378</v>
      </c>
      <c r="C47" s="176">
        <v>44561</v>
      </c>
      <c r="D47" s="172">
        <f t="shared" si="9"/>
        <v>184</v>
      </c>
      <c r="G47" s="174"/>
    </row>
    <row r="48" spans="1:11" s="8" customFormat="1" ht="12.75" customHeight="1" x14ac:dyDescent="0.25">
      <c r="A48" s="175">
        <v>649324356</v>
      </c>
      <c r="B48" s="176">
        <v>44562</v>
      </c>
      <c r="C48" s="176">
        <v>44657</v>
      </c>
      <c r="D48" s="172">
        <f t="shared" si="9"/>
        <v>96</v>
      </c>
    </row>
    <row r="49" spans="1:4" s="8" customFormat="1" ht="12.75" customHeight="1" x14ac:dyDescent="0.25">
      <c r="A49" s="175">
        <v>653860581</v>
      </c>
      <c r="B49" s="176">
        <v>44658</v>
      </c>
      <c r="C49" s="176">
        <v>44742</v>
      </c>
      <c r="D49" s="172">
        <f t="shared" si="9"/>
        <v>85</v>
      </c>
    </row>
    <row r="50" spans="1:4" s="8" customFormat="1" ht="12.75" customHeight="1" x14ac:dyDescent="0.25">
      <c r="A50" s="175">
        <v>653860581</v>
      </c>
      <c r="B50" s="176">
        <v>44743</v>
      </c>
      <c r="C50" s="176">
        <v>44840</v>
      </c>
      <c r="D50" s="177">
        <f t="shared" si="9"/>
        <v>98</v>
      </c>
    </row>
    <row r="51" spans="1:4" s="8" customFormat="1" ht="12.75" customHeight="1" x14ac:dyDescent="0.25">
      <c r="A51" s="175">
        <v>658350171</v>
      </c>
      <c r="B51" s="176">
        <v>44841</v>
      </c>
      <c r="C51" s="176">
        <v>44847</v>
      </c>
      <c r="D51" s="177">
        <f t="shared" si="9"/>
        <v>7</v>
      </c>
    </row>
    <row r="52" spans="1:4" s="8" customFormat="1" ht="12.75" customHeight="1" x14ac:dyDescent="0.25">
      <c r="A52" s="175">
        <v>658418697</v>
      </c>
      <c r="B52" s="176">
        <v>44848</v>
      </c>
      <c r="C52" s="176">
        <v>44926</v>
      </c>
      <c r="D52" s="177">
        <f t="shared" si="9"/>
        <v>79</v>
      </c>
    </row>
    <row r="53" spans="1:4" ht="12.75" customHeight="1" x14ac:dyDescent="0.2">
      <c r="A53" s="158"/>
    </row>
    <row r="54" spans="1:4" ht="12.75" customHeight="1" x14ac:dyDescent="0.2">
      <c r="A54" s="158"/>
    </row>
    <row r="55" spans="1:4" ht="12.75" customHeight="1" x14ac:dyDescent="0.2">
      <c r="A55" s="178"/>
    </row>
    <row r="56" spans="1:4" ht="12.75" customHeight="1" x14ac:dyDescent="0.2">
      <c r="A56" s="158"/>
    </row>
    <row r="57" spans="1:4" ht="12.75" customHeight="1" x14ac:dyDescent="0.2">
      <c r="A57" s="85"/>
    </row>
    <row r="58" spans="1:4" ht="12.75" customHeight="1" x14ac:dyDescent="0.2">
      <c r="A58" s="158"/>
    </row>
    <row r="59" spans="1:4" ht="12.75" customHeight="1" x14ac:dyDescent="0.2">
      <c r="A59" s="85"/>
    </row>
  </sheetData>
  <mergeCells count="1">
    <mergeCell ref="A4:H4"/>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rowBreaks count="1" manualBreakCount="1">
    <brk id="3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1989F-DE5A-4FF0-93FB-DC1C16400F49}">
  <sheetPr>
    <pageSetUpPr fitToPage="1"/>
  </sheetPr>
  <dimension ref="A1:T125"/>
  <sheetViews>
    <sheetView showGridLines="0" zoomScaleNormal="100" zoomScaleSheetLayoutView="100" workbookViewId="0"/>
  </sheetViews>
  <sheetFormatPr defaultColWidth="9.140625" defaultRowHeight="12.75" customHeight="1" x14ac:dyDescent="0.2"/>
  <cols>
    <col min="1" max="1" width="78.7109375" style="10" customWidth="1"/>
    <col min="2" max="8" width="9.5703125" style="10" customWidth="1"/>
    <col min="9" max="9" width="2.5703125" style="10" customWidth="1"/>
    <col min="10" max="11" width="9.5703125" style="10" customWidth="1"/>
    <col min="12" max="12" width="6.140625" style="10" customWidth="1"/>
    <col min="13" max="20" width="9.5703125" style="10" customWidth="1"/>
    <col min="21" max="16384" width="9.140625" style="10"/>
  </cols>
  <sheetData>
    <row r="1" spans="1:20" s="3" customFormat="1" ht="27.95" customHeight="1" x14ac:dyDescent="0.25">
      <c r="A1" s="1" t="s">
        <v>0</v>
      </c>
      <c r="B1" s="2"/>
      <c r="C1" s="2"/>
      <c r="D1" s="2"/>
      <c r="E1" s="2"/>
      <c r="F1" s="2"/>
      <c r="G1" s="2"/>
      <c r="H1" s="2"/>
      <c r="I1" s="2"/>
      <c r="J1" s="2"/>
      <c r="K1" s="2"/>
      <c r="L1" s="2"/>
    </row>
    <row r="3" spans="1:20" s="3" customFormat="1" ht="18" customHeight="1" x14ac:dyDescent="0.25">
      <c r="A3" s="4" t="s">
        <v>4</v>
      </c>
      <c r="B3" s="5"/>
      <c r="C3" s="5"/>
      <c r="D3" s="5"/>
      <c r="E3" s="5"/>
      <c r="F3" s="5"/>
      <c r="G3" s="5"/>
      <c r="H3" s="5"/>
      <c r="I3" s="5"/>
      <c r="J3" s="5"/>
      <c r="K3" s="5"/>
      <c r="L3" s="5"/>
    </row>
    <row r="4" spans="1:20" s="6" customFormat="1" ht="25.5" customHeight="1" x14ac:dyDescent="0.2">
      <c r="A4" s="184" t="s">
        <v>5</v>
      </c>
      <c r="B4" s="184"/>
      <c r="C4" s="184"/>
      <c r="D4" s="184"/>
      <c r="E4" s="184"/>
      <c r="F4" s="184"/>
      <c r="G4" s="184"/>
      <c r="H4" s="184"/>
      <c r="I4" s="184"/>
      <c r="J4" s="184"/>
      <c r="K4" s="184"/>
    </row>
    <row r="5" spans="1:20" s="8" customFormat="1" ht="12.75" customHeight="1" thickBot="1" x14ac:dyDescent="0.3">
      <c r="B5" s="11" t="s">
        <v>6</v>
      </c>
      <c r="C5" s="11" t="s">
        <v>7</v>
      </c>
      <c r="D5" s="11" t="s">
        <v>8</v>
      </c>
      <c r="E5" s="11" t="s">
        <v>9</v>
      </c>
      <c r="F5" s="11" t="s">
        <v>10</v>
      </c>
      <c r="G5" s="11" t="s">
        <v>11</v>
      </c>
      <c r="H5" s="11" t="s">
        <v>12</v>
      </c>
      <c r="I5" s="12"/>
      <c r="J5" s="186" t="s">
        <v>13</v>
      </c>
      <c r="K5" s="186"/>
    </row>
    <row r="6" spans="1:20" s="8" customFormat="1" ht="12.75" customHeight="1" x14ac:dyDescent="0.25">
      <c r="A6" s="12" t="s">
        <v>14</v>
      </c>
      <c r="B6" s="13"/>
      <c r="C6" s="13"/>
      <c r="D6" s="13"/>
      <c r="E6" s="13"/>
      <c r="F6" s="13"/>
      <c r="G6" s="13"/>
      <c r="H6" s="12"/>
      <c r="I6" s="12"/>
      <c r="J6" s="13"/>
      <c r="K6" s="14"/>
    </row>
    <row r="7" spans="1:20" s="8" customFormat="1" ht="12.75" customHeight="1" x14ac:dyDescent="0.25">
      <c r="A7" s="15" t="s">
        <v>15</v>
      </c>
      <c r="B7" s="16">
        <f t="shared" ref="B7:C7" si="0">B109</f>
        <v>61.315558620000083</v>
      </c>
      <c r="C7" s="17">
        <f t="shared" si="0"/>
        <v>67.460210050000072</v>
      </c>
      <c r="D7" s="16">
        <f>D109</f>
        <v>65.900000000000091</v>
      </c>
      <c r="E7" s="16">
        <f t="shared" ref="E7:G7" si="1">E109</f>
        <v>81.899999999999835</v>
      </c>
      <c r="F7" s="16">
        <f>F109</f>
        <v>119.59999999999995</v>
      </c>
      <c r="G7" s="16">
        <f t="shared" si="1"/>
        <v>114.89999999999992</v>
      </c>
      <c r="H7" s="17">
        <f>H109</f>
        <v>98.599999999999895</v>
      </c>
      <c r="I7" s="18"/>
      <c r="J7" s="19">
        <f>H7-F7</f>
        <v>-21.000000000000057</v>
      </c>
      <c r="K7" s="20">
        <f>+IF(F7&lt;&gt;0,IF((H7/F7)&lt;0,"n/m ",IF(ABS((J7)/F7)&gt;1,"large ",(J7)/F7*SIGN(F7))),"n/m ")</f>
        <v>-0.175585284280937</v>
      </c>
      <c r="N7" s="181"/>
      <c r="O7" s="181"/>
      <c r="P7" s="181"/>
      <c r="Q7" s="181"/>
      <c r="R7" s="181"/>
      <c r="S7" s="181"/>
      <c r="T7" s="181"/>
    </row>
    <row r="8" spans="1:20" s="8" customFormat="1" ht="12.75" customHeight="1" x14ac:dyDescent="0.25">
      <c r="A8" s="15" t="s">
        <v>16</v>
      </c>
      <c r="B8" s="17">
        <f t="shared" ref="B8:C8" si="2">B104</f>
        <v>56.465558620000081</v>
      </c>
      <c r="C8" s="17">
        <f t="shared" si="2"/>
        <v>67.504861390000059</v>
      </c>
      <c r="D8" s="16">
        <f>D104</f>
        <v>60.600000000000094</v>
      </c>
      <c r="E8" s="16">
        <f t="shared" ref="E8:G8" si="3">E104</f>
        <v>75.499999999999829</v>
      </c>
      <c r="F8" s="16">
        <f t="shared" si="3"/>
        <v>113.89999999999995</v>
      </c>
      <c r="G8" s="16">
        <f t="shared" si="3"/>
        <v>110.09999999999992</v>
      </c>
      <c r="H8" s="16">
        <f>H104</f>
        <v>94.399999999999892</v>
      </c>
      <c r="I8" s="18"/>
      <c r="J8" s="19">
        <f>H8-F8</f>
        <v>-19.500000000000057</v>
      </c>
      <c r="K8" s="20">
        <f>+IF(F8&lt;&gt;0,IF((H8/F8)&lt;0,"n/m ",IF(ABS((J8)/F8)&gt;1,"large ",(J8)/F8*SIGN(F8))),"n/m ")</f>
        <v>-0.17120280948200234</v>
      </c>
      <c r="N8" s="181"/>
      <c r="O8" s="181"/>
      <c r="P8" s="181"/>
      <c r="Q8" s="181"/>
      <c r="R8" s="181"/>
      <c r="S8" s="181"/>
      <c r="T8" s="181"/>
    </row>
    <row r="9" spans="1:20" s="8" customFormat="1" ht="12.75" customHeight="1" x14ac:dyDescent="0.25">
      <c r="A9" s="15" t="s">
        <v>17</v>
      </c>
      <c r="B9" s="21">
        <v>114.98099999999999</v>
      </c>
      <c r="C9" s="22">
        <v>26.2</v>
      </c>
      <c r="D9" s="22">
        <v>53.8</v>
      </c>
      <c r="E9" s="22">
        <v>-196.4</v>
      </c>
      <c r="F9" s="22">
        <v>26.985016139999299</v>
      </c>
      <c r="G9" s="22">
        <v>9.7999999999999989</v>
      </c>
      <c r="H9" s="22">
        <v>45.1</v>
      </c>
      <c r="I9" s="18"/>
      <c r="J9" s="19">
        <f>H9-F9</f>
        <v>18.114983860000702</v>
      </c>
      <c r="K9" s="20">
        <f>+IF(F9&lt;&gt;0,IF((H9/F9)&lt;0,"n/m ",IF(ABS((J9)/F9)&gt;1,"large ",(J9)/F9*SIGN(F9))),"n/m ")</f>
        <v>0.6712978701224217</v>
      </c>
      <c r="N9" s="181"/>
      <c r="O9" s="181"/>
      <c r="P9" s="181"/>
      <c r="Q9" s="181"/>
      <c r="R9" s="181"/>
      <c r="S9" s="181"/>
      <c r="T9" s="181"/>
    </row>
    <row r="10" spans="1:20" s="8" customFormat="1" ht="12.75" customHeight="1" x14ac:dyDescent="0.25">
      <c r="A10" s="15" t="s">
        <v>18</v>
      </c>
      <c r="B10" s="21">
        <v>27.805</v>
      </c>
      <c r="C10" s="22">
        <v>25.195</v>
      </c>
      <c r="D10" s="22">
        <v>49.099999999999994</v>
      </c>
      <c r="E10" s="22">
        <v>-201.9</v>
      </c>
      <c r="F10" s="22">
        <v>22</v>
      </c>
      <c r="G10" s="22">
        <v>5.6</v>
      </c>
      <c r="H10" s="22">
        <v>-3.3</v>
      </c>
      <c r="I10" s="18"/>
      <c r="J10" s="19">
        <f>H10-F10</f>
        <v>-25.3</v>
      </c>
      <c r="K10" s="20" t="str">
        <f>+IF(F10&lt;&gt;0,IF((H10/F10)&lt;0,"n/m ",IF(ABS((J10)/F10)&gt;1,"large ",(J10)/F10*SIGN(F10))),"n/m ")</f>
        <v xml:space="preserve">n/m </v>
      </c>
      <c r="N10" s="181"/>
      <c r="O10" s="181"/>
      <c r="P10" s="181"/>
      <c r="Q10" s="181"/>
      <c r="R10" s="181"/>
      <c r="S10" s="181"/>
      <c r="T10" s="181"/>
    </row>
    <row r="11" spans="1:20" s="8" customFormat="1" ht="12.75" customHeight="1" x14ac:dyDescent="0.25">
      <c r="A11" s="12" t="s">
        <v>19</v>
      </c>
      <c r="B11" s="23"/>
      <c r="C11" s="23"/>
      <c r="D11" s="24"/>
      <c r="E11" s="24"/>
      <c r="F11" s="24"/>
      <c r="G11" s="24"/>
      <c r="H11" s="18"/>
      <c r="I11" s="18"/>
      <c r="J11" s="18"/>
      <c r="K11" s="20"/>
      <c r="N11" s="181"/>
      <c r="O11" s="181"/>
      <c r="P11" s="181"/>
      <c r="Q11" s="181"/>
      <c r="R11" s="181"/>
      <c r="S11" s="181"/>
      <c r="T11" s="181"/>
    </row>
    <row r="12" spans="1:20" s="8" customFormat="1" ht="12.75" customHeight="1" x14ac:dyDescent="0.25">
      <c r="A12" s="15" t="s">
        <v>20</v>
      </c>
      <c r="B12" s="22">
        <f>SUM(FUMA!C15,FUMA!C71)/1000</f>
        <v>69.113</v>
      </c>
      <c r="C12" s="22">
        <f>SUM(FUMA!E15,FUMA!E71)/1000</f>
        <v>107.64100000000001</v>
      </c>
      <c r="D12" s="22">
        <v>111.593</v>
      </c>
      <c r="E12" s="22">
        <v>318.70400408606002</v>
      </c>
      <c r="F12" s="22">
        <v>325.83917110089004</v>
      </c>
      <c r="G12" s="22">
        <f>(FUMA!M15+FUMA!M61)/1000</f>
        <v>297.51152556070997</v>
      </c>
      <c r="H12" s="22">
        <f>(FUMA!O15+FUMA!O61)/1000</f>
        <v>285.10152556071</v>
      </c>
      <c r="I12" s="18"/>
      <c r="J12" s="19">
        <f>H12-F12</f>
        <v>-40.73764554018004</v>
      </c>
      <c r="K12" s="20">
        <f>+IF(F12&lt;&gt;0,IF((H12/F12)&lt;0,"n/m ",IF(ABS((J12)/F12)&gt;1,"large ",(J12)/F12*SIGN(F12))),"n/m ")</f>
        <v>-0.12502378213933765</v>
      </c>
      <c r="M12" s="25"/>
      <c r="N12" s="181"/>
      <c r="O12" s="181"/>
      <c r="P12" s="181"/>
      <c r="Q12" s="181"/>
      <c r="R12" s="181"/>
      <c r="S12" s="181"/>
      <c r="T12" s="181"/>
    </row>
    <row r="13" spans="1:20" s="8" customFormat="1" ht="12.75" customHeight="1" x14ac:dyDescent="0.25">
      <c r="A13" s="15" t="s">
        <v>21</v>
      </c>
      <c r="B13" s="22">
        <f>FUMA!C15/1000</f>
        <v>68.489999999999995</v>
      </c>
      <c r="C13" s="22">
        <f>FUMA!E15/1000</f>
        <v>107.64100000000001</v>
      </c>
      <c r="D13" s="22">
        <f>FUMA!G15/1000</f>
        <v>104.625</v>
      </c>
      <c r="E13" s="22">
        <f>FUMA!I15/1000</f>
        <v>311.36229572921002</v>
      </c>
      <c r="F13" s="22">
        <f>FUMA!K15/1000</f>
        <v>318.28552556070997</v>
      </c>
      <c r="G13" s="22">
        <f>FUMA!M15/1000</f>
        <v>290.57352556070998</v>
      </c>
      <c r="H13" s="22">
        <f>FUMA!O15/1000</f>
        <v>285.10152556071</v>
      </c>
      <c r="I13" s="18"/>
      <c r="J13" s="19">
        <f>H13-F13</f>
        <v>-33.183999999999969</v>
      </c>
      <c r="K13" s="20">
        <f>+IF(F13&lt;&gt;0,IF((H13/F13)&lt;0,"n/m ",IF(ABS((J13)/F13)&gt;1,"large ",(J13)/F13*SIGN(F13))),"n/m ")</f>
        <v>-0.10425858964695657</v>
      </c>
      <c r="M13" s="25"/>
      <c r="N13" s="181"/>
      <c r="O13" s="181"/>
      <c r="P13" s="181"/>
      <c r="Q13" s="181"/>
      <c r="R13" s="181"/>
      <c r="S13" s="181"/>
      <c r="T13" s="181"/>
    </row>
    <row r="14" spans="1:20" s="8" customFormat="1" ht="12.75" customHeight="1" x14ac:dyDescent="0.25">
      <c r="A14" s="15" t="s">
        <v>22</v>
      </c>
      <c r="B14" s="22">
        <v>67.502322552257141</v>
      </c>
      <c r="C14" s="22">
        <v>106.4602411439575</v>
      </c>
      <c r="D14" s="22">
        <v>102.48066290299833</v>
      </c>
      <c r="E14" s="22">
        <v>156.20977954576747</v>
      </c>
      <c r="F14" s="22">
        <v>314.27077641624089</v>
      </c>
      <c r="G14" s="22">
        <v>306.82104700244588</v>
      </c>
      <c r="H14" s="22">
        <v>291.85721517198328</v>
      </c>
      <c r="I14" s="18"/>
      <c r="J14" s="19">
        <f>H14-F14</f>
        <v>-22.413561244257608</v>
      </c>
      <c r="K14" s="20">
        <f>+IF(F14&lt;&gt;0,IF((H14/F14)&lt;0,"n/m ",IF(ABS((J14)/F14)&gt;1,"large ",(J14)/F14*SIGN(F14))),"n/m ")</f>
        <v>-7.1319266461389377E-2</v>
      </c>
      <c r="L14" s="26"/>
      <c r="M14" s="25"/>
      <c r="N14" s="181"/>
      <c r="O14" s="181"/>
      <c r="P14" s="181"/>
      <c r="Q14" s="181"/>
      <c r="R14" s="181"/>
      <c r="S14" s="181"/>
      <c r="T14" s="181"/>
    </row>
    <row r="15" spans="1:20" s="8" customFormat="1" ht="12.75" customHeight="1" x14ac:dyDescent="0.25">
      <c r="A15" s="15" t="s">
        <v>23</v>
      </c>
      <c r="B15" s="22">
        <f>SUM(FUMA!B9:C9)/1000</f>
        <v>0.46600000000000003</v>
      </c>
      <c r="C15" s="22">
        <f>SUM(FUMA!D9:E9)/1000</f>
        <v>-0.19800000000000001</v>
      </c>
      <c r="D15" s="22">
        <f>SUM(FUMA!F9:G9)/1000</f>
        <v>-2.8490000000000002</v>
      </c>
      <c r="E15" s="22">
        <f>SUM(FUMA!H9:I9)/1000</f>
        <v>-0.32907391865001412</v>
      </c>
      <c r="F15" s="22">
        <f>SUM(FUMA!J9:K9)/1000</f>
        <v>-1.1899005842199999</v>
      </c>
      <c r="G15" s="22">
        <f>SUM(FUMA!L9:M9)/1000</f>
        <v>-0.05</v>
      </c>
      <c r="H15" s="22">
        <f>SUM(FUMA!N9:O9)/1000</f>
        <v>-5.6000000000000001E-2</v>
      </c>
      <c r="I15" s="18"/>
      <c r="J15" s="19">
        <f>H15-F15</f>
        <v>1.1339005842199998</v>
      </c>
      <c r="K15" s="20">
        <f>+IF(F15&lt;&gt;0,IF((H15/F15)&lt;0,"n/m ",IF(ABS((J15)/F15)&gt;1,"large ",(J15)/F15*SIGN(F15))),"n/m ")</f>
        <v>0.95293724472224794</v>
      </c>
      <c r="M15" s="25"/>
      <c r="N15" s="181"/>
      <c r="O15" s="181"/>
      <c r="P15" s="181"/>
      <c r="Q15" s="181"/>
      <c r="R15" s="181"/>
      <c r="S15" s="181"/>
      <c r="T15" s="181"/>
    </row>
    <row r="16" spans="1:20" s="8" customFormat="1" ht="12.75" customHeight="1" x14ac:dyDescent="0.25">
      <c r="A16" s="12" t="s">
        <v>24</v>
      </c>
      <c r="B16" s="23"/>
      <c r="C16" s="23"/>
      <c r="D16" s="24"/>
      <c r="E16" s="24"/>
      <c r="F16" s="24"/>
      <c r="G16" s="24"/>
      <c r="H16" s="18"/>
      <c r="I16" s="18"/>
      <c r="J16" s="18"/>
      <c r="K16" s="20"/>
      <c r="M16" s="25"/>
      <c r="N16" s="181"/>
      <c r="O16" s="181"/>
      <c r="P16" s="181"/>
      <c r="Q16" s="181"/>
      <c r="R16" s="181"/>
      <c r="S16" s="181"/>
      <c r="T16" s="181"/>
    </row>
    <row r="17" spans="1:20" s="8" customFormat="1" ht="12.75" customHeight="1" x14ac:dyDescent="0.25">
      <c r="A17" s="15" t="s">
        <v>25</v>
      </c>
      <c r="B17" s="21">
        <f>Ratios!B16</f>
        <v>17.515649924575023</v>
      </c>
      <c r="C17" s="21">
        <f>Ratios!C16</f>
        <v>19.264256711321231</v>
      </c>
      <c r="D17" s="22">
        <f>Ratios!D16</f>
        <v>12.4</v>
      </c>
      <c r="E17" s="22">
        <f>Ratios!E16</f>
        <v>12.6</v>
      </c>
      <c r="F17" s="22">
        <f>Ratios!F16</f>
        <v>18.399999999999999</v>
      </c>
      <c r="G17" s="22">
        <f>Ratios!G16</f>
        <v>17.7</v>
      </c>
      <c r="H17" s="22">
        <f>Ratios!H16</f>
        <v>15</v>
      </c>
      <c r="I17" s="18"/>
      <c r="J17" s="19">
        <f>H17-F17</f>
        <v>-3.3999999999999986</v>
      </c>
      <c r="K17" s="20">
        <f>+IF(F17&lt;&gt;0,IF((H17/F17)&lt;0,"n/m ",IF(ABS((J17)/F17)&gt;1,"large ",(J17)/F17*SIGN(F17))),"n/m ")</f>
        <v>-0.18478260869565211</v>
      </c>
      <c r="M17" s="25"/>
      <c r="N17" s="181"/>
      <c r="O17" s="181"/>
      <c r="P17" s="181"/>
      <c r="Q17" s="181"/>
      <c r="R17" s="181"/>
      <c r="S17" s="181"/>
      <c r="T17" s="181"/>
    </row>
    <row r="18" spans="1:20" s="8" customFormat="1" ht="12.75" customHeight="1" x14ac:dyDescent="0.25">
      <c r="A18" s="15" t="s">
        <v>26</v>
      </c>
      <c r="B18" s="21">
        <f>Ratios!B17</f>
        <v>16.130179351589337</v>
      </c>
      <c r="C18" s="21">
        <f>Ratios!C17</f>
        <v>19.277007559200694</v>
      </c>
      <c r="D18" s="22">
        <f>Ratios!D17</f>
        <v>11.4</v>
      </c>
      <c r="E18" s="22">
        <f>Ratios!E17</f>
        <v>11.6</v>
      </c>
      <c r="F18" s="22">
        <f>Ratios!F17</f>
        <v>17.600000000000001</v>
      </c>
      <c r="G18" s="22">
        <f>Ratios!G17</f>
        <v>16.899999999999999</v>
      </c>
      <c r="H18" s="22">
        <f>Ratios!H17</f>
        <v>14.4</v>
      </c>
      <c r="I18" s="18"/>
      <c r="J18" s="19">
        <f>H18-F18</f>
        <v>-3.2000000000000011</v>
      </c>
      <c r="K18" s="20">
        <f>+IF(F18&lt;&gt;0,IF((H18/F18)&lt;0,"n/m ",IF(ABS((J18)/F18)&gt;1,"large ",(J18)/F18*SIGN(F18))),"n/m ")</f>
        <v>-0.18181818181818185</v>
      </c>
      <c r="M18" s="25"/>
      <c r="N18" s="181"/>
      <c r="O18" s="181"/>
      <c r="P18" s="181"/>
      <c r="Q18" s="181"/>
      <c r="R18" s="181"/>
      <c r="S18" s="181"/>
      <c r="T18" s="181"/>
    </row>
    <row r="19" spans="1:20" s="8" customFormat="1" ht="12.75" customHeight="1" x14ac:dyDescent="0.25">
      <c r="A19" s="15" t="s">
        <v>27</v>
      </c>
      <c r="B19" s="21">
        <f>Ratios!B18</f>
        <v>32.674538063644462</v>
      </c>
      <c r="C19" s="21">
        <f>Ratios!C18</f>
        <v>7.5931661875107217</v>
      </c>
      <c r="D19" s="22">
        <f>Ratios!D18</f>
        <v>10.130878380769822</v>
      </c>
      <c r="E19" s="22">
        <f>Ratios!E18</f>
        <v>-30.28379631694051</v>
      </c>
      <c r="F19" s="22">
        <f>Ratios!F18</f>
        <v>4.1763600408593948</v>
      </c>
      <c r="G19" s="22">
        <f>Ratios!G18</f>
        <v>1.490511828309796</v>
      </c>
      <c r="H19" s="22">
        <f>Ratios!H18</f>
        <v>6.8962775957081615</v>
      </c>
      <c r="I19" s="18"/>
      <c r="J19" s="19">
        <f>H19-F19</f>
        <v>2.7199175548487666</v>
      </c>
      <c r="K19" s="20">
        <f>+IF(F19&lt;&gt;0,IF((H19/F19)&lt;0,"n/m ",IF(ABS((J19)/F19)&gt;1,"large ",(J19)/F19*SIGN(F19))),"n/m ")</f>
        <v>0.65126510364012413</v>
      </c>
      <c r="M19" s="25"/>
      <c r="N19" s="181"/>
      <c r="O19" s="181"/>
      <c r="P19" s="181"/>
      <c r="Q19" s="181"/>
      <c r="R19" s="181"/>
      <c r="S19" s="181"/>
      <c r="T19" s="181"/>
    </row>
    <row r="20" spans="1:20" s="8" customFormat="1" ht="12.75" customHeight="1" x14ac:dyDescent="0.25">
      <c r="A20" s="15" t="s">
        <v>28</v>
      </c>
      <c r="B20" s="21">
        <f>Ratios!B19</f>
        <v>32.610191886208518</v>
      </c>
      <c r="C20" s="21">
        <f>Ratios!C19</f>
        <v>7.5741689168777953</v>
      </c>
      <c r="D20" s="22">
        <f>Ratios!D19</f>
        <v>10.114867744091741</v>
      </c>
      <c r="E20" s="22">
        <f>Ratios!E19</f>
        <v>-30.28379631694051</v>
      </c>
      <c r="F20" s="22">
        <f>Ratios!F19</f>
        <v>4.163615357679296</v>
      </c>
      <c r="G20" s="22">
        <f>Ratios!G19</f>
        <v>1.4830323975871387</v>
      </c>
      <c r="H20" s="22">
        <f>Ratios!H19</f>
        <v>6.8792003946360651</v>
      </c>
      <c r="I20" s="18"/>
      <c r="J20" s="19">
        <f>H20-F20</f>
        <v>2.7155850369567691</v>
      </c>
      <c r="K20" s="20">
        <f>+IF(F20&lt;&gt;0,IF((H20/F20)&lt;0,"n/m ",IF(ABS((J20)/F20)&gt;1,"large ",(J20)/F20*SIGN(F20))),"n/m ")</f>
        <v>0.65221803737182249</v>
      </c>
      <c r="M20" s="25"/>
      <c r="N20" s="181"/>
      <c r="O20" s="181"/>
      <c r="P20" s="181"/>
      <c r="Q20" s="181"/>
      <c r="R20" s="181"/>
      <c r="S20" s="181"/>
      <c r="T20" s="181"/>
    </row>
    <row r="21" spans="1:20" s="8" customFormat="1" ht="12.75" customHeight="1" x14ac:dyDescent="0.25">
      <c r="A21" s="15" t="s">
        <v>29</v>
      </c>
      <c r="B21" s="21">
        <f>Ratios!B20</f>
        <v>7.7714900903248578</v>
      </c>
      <c r="C21" s="21">
        <f>Ratios!C20</f>
        <v>7.3061736332253409</v>
      </c>
      <c r="D21" s="22">
        <f>Ratios!D20</f>
        <v>9.2458388196245007</v>
      </c>
      <c r="E21" s="22">
        <f>Ratios!E20</f>
        <v>-31.131865969400657</v>
      </c>
      <c r="F21" s="22">
        <f>Ratios!F20</f>
        <v>3.407698058067135</v>
      </c>
      <c r="G21" s="22">
        <f>Ratios!G20</f>
        <v>0.84513557275297713</v>
      </c>
      <c r="H21" s="22">
        <f>Ratios!H20</f>
        <v>-0.4882320421740291</v>
      </c>
      <c r="I21" s="18"/>
      <c r="J21" s="19">
        <f>H21-F21</f>
        <v>-3.8959301002411642</v>
      </c>
      <c r="K21" s="20" t="str">
        <f>+IF(F21&lt;&gt;0,IF((H21/F21)&lt;0,"n/m ",IF(ABS((J21)/F21)&gt;1,"large ",(J21)/F21*SIGN(F21))),"n/m ")</f>
        <v xml:space="preserve">n/m </v>
      </c>
      <c r="M21" s="25"/>
      <c r="N21" s="181"/>
      <c r="O21" s="181"/>
      <c r="P21" s="181"/>
      <c r="Q21" s="181"/>
      <c r="R21" s="181"/>
      <c r="S21" s="181"/>
      <c r="T21" s="181"/>
    </row>
    <row r="22" spans="1:20" s="8" customFormat="1" ht="12.75" customHeight="1" x14ac:dyDescent="0.25">
      <c r="A22" s="12" t="s">
        <v>30</v>
      </c>
      <c r="B22" s="23"/>
      <c r="C22" s="23"/>
      <c r="D22" s="24"/>
      <c r="E22" s="24"/>
      <c r="F22" s="24"/>
      <c r="G22" s="24"/>
      <c r="H22" s="18"/>
      <c r="I22" s="18"/>
      <c r="J22" s="18"/>
      <c r="K22" s="20"/>
      <c r="M22" s="25"/>
      <c r="N22" s="181"/>
      <c r="O22" s="181"/>
      <c r="P22" s="181"/>
      <c r="Q22" s="181"/>
      <c r="R22" s="181"/>
      <c r="S22" s="181"/>
      <c r="T22" s="181"/>
    </row>
    <row r="23" spans="1:20" s="8" customFormat="1" ht="12.75" customHeight="1" x14ac:dyDescent="0.25">
      <c r="A23" s="15" t="s">
        <v>31</v>
      </c>
      <c r="B23" s="24">
        <v>56.171999999999997</v>
      </c>
      <c r="C23" s="23">
        <v>40.4</v>
      </c>
      <c r="D23" s="24">
        <v>51.945999999999998</v>
      </c>
      <c r="E23" s="24">
        <v>61.7</v>
      </c>
      <c r="F23" s="24">
        <v>76.620273999999995</v>
      </c>
      <c r="G23" s="24">
        <v>77.155548999999993</v>
      </c>
      <c r="H23" s="24">
        <v>61.2</v>
      </c>
      <c r="I23" s="18"/>
      <c r="J23" s="19">
        <f>H23-F23</f>
        <v>-15.420273999999992</v>
      </c>
      <c r="K23" s="20">
        <f>+IF(F23&lt;&gt;0,IF((H23/F23)&lt;0,"n/m ",IF(ABS((J23)/F23)&gt;1,"large ",(J23)/F23*SIGN(F23))),"n/m ")</f>
        <v>-0.20125579295109272</v>
      </c>
      <c r="M23" s="25"/>
      <c r="N23" s="181"/>
      <c r="O23" s="181"/>
      <c r="P23" s="181"/>
      <c r="Q23" s="181"/>
      <c r="R23" s="181"/>
      <c r="S23" s="181"/>
      <c r="T23" s="181"/>
    </row>
    <row r="24" spans="1:20" s="8" customFormat="1" ht="12.75" customHeight="1" x14ac:dyDescent="0.25">
      <c r="A24" s="15" t="s">
        <v>32</v>
      </c>
      <c r="B24" s="24">
        <v>16</v>
      </c>
      <c r="C24" s="23">
        <v>11.5</v>
      </c>
      <c r="D24" s="24">
        <v>8</v>
      </c>
      <c r="E24" s="24">
        <v>9.5</v>
      </c>
      <c r="F24" s="24">
        <v>11.8</v>
      </c>
      <c r="G24" s="24">
        <v>11.8</v>
      </c>
      <c r="H24" s="24">
        <v>9.3000000000000007</v>
      </c>
      <c r="I24" s="18"/>
      <c r="J24" s="19">
        <f>H24-F24</f>
        <v>-2.5</v>
      </c>
      <c r="K24" s="20">
        <f>+IF(F24&lt;&gt;0,IF((H24/F24)&lt;0,"n/m ",IF(ABS((J24)/F24)&gt;1,"large ",(J24)/F24*SIGN(F24))),"n/m ")</f>
        <v>-0.21186440677966101</v>
      </c>
      <c r="M24" s="25"/>
      <c r="N24" s="181"/>
      <c r="O24" s="181"/>
      <c r="P24" s="181"/>
      <c r="Q24" s="181"/>
      <c r="R24" s="181"/>
      <c r="S24" s="181"/>
      <c r="T24" s="181"/>
    </row>
    <row r="25" spans="1:20" s="8" customFormat="1" ht="12.75" customHeight="1" x14ac:dyDescent="0.25">
      <c r="A25" s="15" t="s">
        <v>33</v>
      </c>
      <c r="B25" s="24">
        <v>24.574999999999999</v>
      </c>
      <c r="C25" s="23">
        <v>0</v>
      </c>
      <c r="D25" s="24">
        <v>22.725999999999999</v>
      </c>
      <c r="E25" s="24">
        <v>13</v>
      </c>
      <c r="F25" s="24">
        <v>0</v>
      </c>
      <c r="G25" s="24">
        <v>0</v>
      </c>
      <c r="H25" s="24">
        <v>7.9</v>
      </c>
      <c r="I25" s="18"/>
      <c r="J25" s="19">
        <f>H25-F25</f>
        <v>7.9</v>
      </c>
      <c r="K25" s="20" t="str">
        <f>+IF(F25&lt;&gt;0,IF((H25/F25)&lt;0,"n/m ",IF(ABS((J25)/F25)&gt;1,"large ",(J25)/F25*SIGN(F25))),"n/m ")</f>
        <v xml:space="preserve">n/m </v>
      </c>
      <c r="M25" s="25"/>
      <c r="N25" s="181"/>
      <c r="O25" s="181"/>
      <c r="P25" s="181"/>
      <c r="Q25" s="181"/>
      <c r="R25" s="181"/>
      <c r="S25" s="181"/>
      <c r="T25" s="181"/>
    </row>
    <row r="26" spans="1:20" s="8" customFormat="1" ht="12.75" customHeight="1" x14ac:dyDescent="0.25">
      <c r="A26" s="15" t="s">
        <v>34</v>
      </c>
      <c r="B26" s="24">
        <v>7</v>
      </c>
      <c r="C26" s="23">
        <v>0</v>
      </c>
      <c r="D26" s="24">
        <v>3.5</v>
      </c>
      <c r="E26" s="24">
        <v>2</v>
      </c>
      <c r="F26" s="24">
        <v>0</v>
      </c>
      <c r="G26" s="24">
        <v>0</v>
      </c>
      <c r="H26" s="24">
        <v>1.2</v>
      </c>
      <c r="I26" s="18"/>
      <c r="J26" s="19">
        <f>H26-F26</f>
        <v>1.2</v>
      </c>
      <c r="K26" s="20" t="str">
        <f>+IF(F26&lt;&gt;0,IF((H26/F26)&lt;0,"n/m ",IF(ABS((J26)/F26)&gt;1,"large ",(J26)/F26*SIGN(F26))),"n/m ")</f>
        <v xml:space="preserve">n/m </v>
      </c>
      <c r="M26" s="25"/>
      <c r="N26" s="181"/>
      <c r="O26" s="181"/>
      <c r="P26" s="181"/>
      <c r="Q26" s="181"/>
      <c r="R26" s="181"/>
      <c r="S26" s="181"/>
      <c r="T26" s="181"/>
    </row>
    <row r="27" spans="1:20" s="8" customFormat="1" ht="12.75" customHeight="1" x14ac:dyDescent="0.25">
      <c r="A27" s="15" t="s">
        <v>35</v>
      </c>
      <c r="B27" s="27">
        <f t="shared" ref="B27:D27" si="4">B23/B7</f>
        <v>0.91611332040735338</v>
      </c>
      <c r="C27" s="20">
        <f t="shared" si="4"/>
        <v>0.59887154175856228</v>
      </c>
      <c r="D27" s="27">
        <f t="shared" si="4"/>
        <v>0.78825493171471817</v>
      </c>
      <c r="E27" s="27">
        <f>E23/E7</f>
        <v>0.7533577533577549</v>
      </c>
      <c r="F27" s="27">
        <f>F23/F7</f>
        <v>0.64063774247491656</v>
      </c>
      <c r="G27" s="27">
        <f>G23/G7</f>
        <v>0.67150173194081852</v>
      </c>
      <c r="H27" s="27">
        <f>H23/H7</f>
        <v>0.62068965517241448</v>
      </c>
      <c r="I27" s="20"/>
      <c r="J27" s="20">
        <f>H27-F27</f>
        <v>-1.9948087302502082E-2</v>
      </c>
      <c r="K27" s="20">
        <f>+IF(F27&lt;&gt;0,IF((H27/F27)&lt;0,"n/m ",IF(ABS((J27)/F27)&gt;1,"large ",(J27)/F27*SIGN(F27))),"n/m ")</f>
        <v>-3.1137858386923133E-2</v>
      </c>
      <c r="M27" s="25"/>
      <c r="N27" s="181"/>
      <c r="O27" s="181"/>
      <c r="P27" s="181"/>
      <c r="Q27" s="181"/>
      <c r="R27" s="181"/>
      <c r="S27" s="181"/>
      <c r="T27" s="181"/>
    </row>
    <row r="28" spans="1:20" s="8" customFormat="1" ht="12.75" customHeight="1" x14ac:dyDescent="0.25">
      <c r="A28" s="12" t="s">
        <v>36</v>
      </c>
      <c r="B28" s="23"/>
      <c r="C28" s="23"/>
      <c r="D28" s="23"/>
      <c r="E28" s="23"/>
      <c r="F28" s="23"/>
      <c r="G28" s="23"/>
      <c r="H28" s="18"/>
      <c r="I28" s="18"/>
      <c r="J28" s="18"/>
      <c r="K28" s="20"/>
      <c r="M28" s="25"/>
      <c r="N28" s="181"/>
      <c r="O28" s="181"/>
      <c r="P28" s="181"/>
      <c r="Q28" s="181"/>
      <c r="R28" s="181"/>
      <c r="S28" s="181"/>
      <c r="T28" s="181"/>
    </row>
    <row r="29" spans="1:20" s="8" customFormat="1" ht="12.75" customHeight="1" x14ac:dyDescent="0.25">
      <c r="A29" s="15" t="s">
        <v>37</v>
      </c>
      <c r="B29" s="28">
        <v>5.17</v>
      </c>
      <c r="C29" s="29">
        <f t="shared" ref="C29" si="5">B30</f>
        <v>7.86</v>
      </c>
      <c r="D29" s="30">
        <f>C30</f>
        <v>4.92</v>
      </c>
      <c r="E29" s="30">
        <f>D30</f>
        <v>3.52</v>
      </c>
      <c r="F29" s="30">
        <f>E30</f>
        <v>4.2699999999999996</v>
      </c>
      <c r="G29" s="30">
        <f>F30</f>
        <v>3.62</v>
      </c>
      <c r="H29" s="30">
        <f>G30</f>
        <v>2.69</v>
      </c>
      <c r="I29" s="18"/>
      <c r="J29" s="31">
        <f>H29-F29</f>
        <v>-1.5799999999999996</v>
      </c>
      <c r="K29" s="20">
        <f>+IF(F29&lt;&gt;0,IF((H29/F29)&lt;0,"n/m ",IF(ABS((J29)/F29)&gt;1,"large ",(J29)/F29*SIGN(F29))),"n/m ")</f>
        <v>-0.37002341920374704</v>
      </c>
      <c r="M29" s="25"/>
      <c r="N29" s="181"/>
      <c r="O29" s="181"/>
      <c r="P29" s="181"/>
      <c r="Q29" s="181"/>
      <c r="R29" s="181"/>
      <c r="S29" s="181"/>
      <c r="T29" s="181"/>
    </row>
    <row r="30" spans="1:20" s="8" customFormat="1" ht="12.75" customHeight="1" x14ac:dyDescent="0.25">
      <c r="A30" s="15" t="s">
        <v>38</v>
      </c>
      <c r="B30" s="29">
        <v>7.86</v>
      </c>
      <c r="C30" s="29">
        <v>4.92</v>
      </c>
      <c r="D30" s="29">
        <v>3.52</v>
      </c>
      <c r="E30" s="29">
        <v>4.2699999999999996</v>
      </c>
      <c r="F30" s="32">
        <v>3.62</v>
      </c>
      <c r="G30" s="32">
        <v>2.69</v>
      </c>
      <c r="H30" s="32">
        <v>3.35</v>
      </c>
      <c r="I30" s="18"/>
      <c r="J30" s="31">
        <f>H30-F30</f>
        <v>-0.27</v>
      </c>
      <c r="K30" s="20">
        <f>+IF(F30&lt;&gt;0,IF((H30/F30)&lt;0,"n/m ",IF(ABS((J30)/F30)&gt;1,"large ",(J30)/F30*SIGN(F30))),"n/m ")</f>
        <v>-7.4585635359116026E-2</v>
      </c>
      <c r="M30" s="25"/>
      <c r="N30" s="181"/>
      <c r="O30" s="181"/>
      <c r="P30" s="181"/>
      <c r="Q30" s="181"/>
      <c r="R30" s="181"/>
      <c r="S30" s="181"/>
      <c r="T30" s="181"/>
    </row>
    <row r="31" spans="1:20" s="8" customFormat="1" ht="12.75" customHeight="1" x14ac:dyDescent="0.25">
      <c r="A31" s="15" t="s">
        <v>39</v>
      </c>
      <c r="B31" s="33">
        <f>B30-B29+(B24+B26)/100</f>
        <v>2.9200000000000004</v>
      </c>
      <c r="C31" s="33">
        <f t="shared" ref="C31:H31" si="6">C30-C29+(C24+C26)/100</f>
        <v>-2.8250000000000002</v>
      </c>
      <c r="D31" s="33">
        <f t="shared" si="6"/>
        <v>-1.2849999999999999</v>
      </c>
      <c r="E31" s="33">
        <f t="shared" si="6"/>
        <v>0.86499999999999955</v>
      </c>
      <c r="F31" s="33">
        <f>F30-F29+(F24+F26)/100</f>
        <v>-0.53199999999999947</v>
      </c>
      <c r="G31" s="33">
        <f t="shared" si="6"/>
        <v>-0.81200000000000017</v>
      </c>
      <c r="H31" s="33">
        <f t="shared" si="6"/>
        <v>0.76500000000000012</v>
      </c>
      <c r="I31" s="18"/>
      <c r="J31" s="31">
        <f>H31-F31</f>
        <v>1.2969999999999997</v>
      </c>
      <c r="K31" s="20" t="str">
        <f>+IF(F31&lt;&gt;0,IF((H31/F31)&lt;0,"n/m ",IF(ABS((J31)/F31)&gt;1,"large ",(J31)/F31*SIGN(F31))),"n/m ")</f>
        <v xml:space="preserve">n/m </v>
      </c>
      <c r="M31" s="25"/>
      <c r="N31" s="181"/>
      <c r="O31" s="181"/>
      <c r="P31" s="181"/>
      <c r="Q31" s="181"/>
      <c r="R31" s="181"/>
      <c r="S31" s="181"/>
      <c r="T31" s="181"/>
    </row>
    <row r="32" spans="1:20" s="8" customFormat="1" ht="12.75" customHeight="1" x14ac:dyDescent="0.25">
      <c r="A32" s="15" t="s">
        <v>40</v>
      </c>
      <c r="B32" s="20">
        <f t="shared" ref="B32:H32" si="7">B31/B29</f>
        <v>0.5647969052224372</v>
      </c>
      <c r="C32" s="20">
        <f t="shared" si="7"/>
        <v>-0.35941475826972014</v>
      </c>
      <c r="D32" s="27">
        <f t="shared" si="7"/>
        <v>-0.26117886178861788</v>
      </c>
      <c r="E32" s="27">
        <f t="shared" si="7"/>
        <v>0.24573863636363624</v>
      </c>
      <c r="F32" s="27">
        <f t="shared" si="7"/>
        <v>-0.12459016393442612</v>
      </c>
      <c r="G32" s="27">
        <f t="shared" si="7"/>
        <v>-0.22430939226519342</v>
      </c>
      <c r="H32" s="27">
        <f t="shared" si="7"/>
        <v>0.28438661710037177</v>
      </c>
      <c r="I32" s="20"/>
      <c r="J32" s="20">
        <f>H32-F32</f>
        <v>0.4089767810347979</v>
      </c>
      <c r="K32" s="20"/>
      <c r="M32" s="25"/>
      <c r="N32" s="181"/>
      <c r="O32" s="181"/>
      <c r="P32" s="181"/>
      <c r="Q32" s="181"/>
      <c r="R32" s="181"/>
      <c r="S32" s="181"/>
      <c r="T32" s="181"/>
    </row>
    <row r="33" spans="1:20" s="8" customFormat="1" ht="12.75" customHeight="1" x14ac:dyDescent="0.25">
      <c r="A33" s="12" t="s">
        <v>41</v>
      </c>
      <c r="B33" s="23"/>
      <c r="C33" s="23"/>
      <c r="D33" s="23"/>
      <c r="E33" s="23"/>
      <c r="F33" s="23"/>
      <c r="G33" s="23"/>
      <c r="H33" s="18"/>
      <c r="I33" s="18"/>
      <c r="J33" s="18"/>
      <c r="K33" s="20"/>
      <c r="M33" s="25"/>
      <c r="N33" s="181"/>
      <c r="O33" s="181"/>
      <c r="P33" s="181"/>
      <c r="Q33" s="181"/>
      <c r="R33" s="181"/>
      <c r="S33" s="181"/>
      <c r="T33" s="181"/>
    </row>
    <row r="34" spans="1:20" s="8" customFormat="1" ht="12.75" customHeight="1" x14ac:dyDescent="0.25">
      <c r="A34" s="15" t="s">
        <v>42</v>
      </c>
      <c r="B34" s="34">
        <f>Ratios!B23</f>
        <v>74.893505542545654</v>
      </c>
      <c r="C34" s="34">
        <f>Ratios!C23</f>
        <v>63.129887407036158</v>
      </c>
      <c r="D34" s="34">
        <f>Ratios!D23</f>
        <v>64.322580138004298</v>
      </c>
      <c r="E34" s="34">
        <f>Ratios!E23</f>
        <v>51.58596387262638</v>
      </c>
      <c r="F34" s="34">
        <f>Ratios!F23</f>
        <v>47.895902954589125</v>
      </c>
      <c r="G34" s="34">
        <f>Ratios!G23</f>
        <v>47.670183035053206</v>
      </c>
      <c r="H34" s="34">
        <f>Ratios!H23</f>
        <v>46.98629100328187</v>
      </c>
      <c r="I34" s="18"/>
      <c r="J34" s="34">
        <f t="shared" ref="J34:J35" si="8">H34-F34</f>
        <v>-0.90961195130725514</v>
      </c>
      <c r="K34" s="20"/>
      <c r="M34" s="25"/>
      <c r="N34" s="181"/>
      <c r="O34" s="181"/>
      <c r="P34" s="181"/>
      <c r="Q34" s="181"/>
      <c r="R34" s="181"/>
      <c r="S34" s="181"/>
      <c r="T34" s="181"/>
    </row>
    <row r="35" spans="1:20" s="8" customFormat="1" ht="12.75" customHeight="1" x14ac:dyDescent="0.25">
      <c r="A35" s="15" t="s">
        <v>43</v>
      </c>
      <c r="B35" s="34">
        <f>Ratios!B24</f>
        <v>26.669802513635712</v>
      </c>
      <c r="C35" s="34">
        <f>Ratios!C24</f>
        <v>21.436811218594009</v>
      </c>
      <c r="D35" s="34">
        <f>Ratios!D24</f>
        <v>19.937483461373596</v>
      </c>
      <c r="E35" s="34">
        <f>Ratios!E24</f>
        <v>15.87856245328588</v>
      </c>
      <c r="F35" s="34">
        <f>Ratios!F24</f>
        <v>12.643053982346075</v>
      </c>
      <c r="G35" s="34">
        <f>Ratios!G24</f>
        <v>12.369403622221164</v>
      </c>
      <c r="H35" s="34">
        <f>Ratios!H24</f>
        <v>11.799247964949702</v>
      </c>
      <c r="I35" s="18"/>
      <c r="J35" s="34">
        <f t="shared" si="8"/>
        <v>-0.84380601739637306</v>
      </c>
      <c r="K35" s="20"/>
      <c r="M35" s="25"/>
      <c r="N35" s="181"/>
      <c r="O35" s="181"/>
      <c r="P35" s="181"/>
      <c r="Q35" s="181"/>
      <c r="R35" s="181"/>
      <c r="S35" s="181"/>
      <c r="T35" s="181"/>
    </row>
    <row r="36" spans="1:20" s="8" customFormat="1" ht="12.75" customHeight="1" x14ac:dyDescent="0.25">
      <c r="A36" s="15" t="s">
        <v>44</v>
      </c>
      <c r="B36" s="27">
        <f>Ratios!B30</f>
        <v>0.62399596347020314</v>
      </c>
      <c r="C36" s="27">
        <f>Ratios!C30</f>
        <v>0.65603477466523386</v>
      </c>
      <c r="D36" s="27">
        <f>Ratios!D30</f>
        <v>0.69003912127595524</v>
      </c>
      <c r="E36" s="27">
        <f>Ratios!E30</f>
        <v>0.69201901426069579</v>
      </c>
      <c r="F36" s="20">
        <f>Ratios!F30</f>
        <v>0.73603057459146026</v>
      </c>
      <c r="G36" s="20">
        <f>Ratios!G30</f>
        <v>0.74052116365641807</v>
      </c>
      <c r="H36" s="20">
        <f>Ratios!H30</f>
        <v>0.74887892376681631</v>
      </c>
      <c r="I36" s="18"/>
      <c r="J36" s="20">
        <f>H36-F36</f>
        <v>1.2848349175356044E-2</v>
      </c>
      <c r="K36" s="20"/>
      <c r="M36" s="25"/>
      <c r="N36" s="181"/>
      <c r="O36" s="181"/>
      <c r="P36" s="181"/>
      <c r="Q36" s="181"/>
      <c r="R36" s="181"/>
      <c r="S36" s="181"/>
      <c r="T36" s="181"/>
    </row>
    <row r="37" spans="1:20" s="8" customFormat="1" ht="12.75" customHeight="1" x14ac:dyDescent="0.25">
      <c r="A37" s="15" t="s">
        <v>45</v>
      </c>
      <c r="B37" s="20">
        <f>Ratios!B35</f>
        <v>7.2040577434864472E-2</v>
      </c>
      <c r="C37" s="20">
        <f>Ratios!C35</f>
        <v>7.8625796409295942E-2</v>
      </c>
      <c r="D37" s="20">
        <f>Ratios!D35</f>
        <v>5.6628924560940819E-2</v>
      </c>
      <c r="E37" s="20">
        <f>Ratios!E35</f>
        <v>6.1244283221543211E-2</v>
      </c>
      <c r="F37" s="20">
        <f>Ratios!F35</f>
        <v>9.5687045083218458E-2</v>
      </c>
      <c r="G37" s="20">
        <f>Ratios!G35</f>
        <v>9.4490451032792605E-2</v>
      </c>
      <c r="H37" s="27">
        <f>Ratios!H35</f>
        <v>8.2212619803577566E-2</v>
      </c>
      <c r="I37" s="18"/>
      <c r="J37" s="20">
        <f>H37-F37</f>
        <v>-1.3474425279640892E-2</v>
      </c>
      <c r="K37" s="20"/>
      <c r="M37" s="25"/>
      <c r="N37" s="181"/>
      <c r="O37" s="181"/>
      <c r="P37" s="181"/>
      <c r="Q37" s="181"/>
      <c r="R37" s="181"/>
      <c r="S37" s="181"/>
      <c r="T37" s="181"/>
    </row>
    <row r="38" spans="1:20" s="8" customFormat="1" ht="12.75" customHeight="1" x14ac:dyDescent="0.25">
      <c r="A38" s="35"/>
      <c r="M38" s="25"/>
      <c r="N38" s="181"/>
      <c r="O38" s="181"/>
      <c r="P38" s="181"/>
      <c r="Q38" s="181"/>
      <c r="R38" s="181"/>
      <c r="S38" s="181"/>
      <c r="T38" s="181"/>
    </row>
    <row r="39" spans="1:20" s="8" customFormat="1" ht="18" customHeight="1" x14ac:dyDescent="0.25">
      <c r="A39" s="4" t="s">
        <v>46</v>
      </c>
      <c r="B39" s="5"/>
      <c r="C39" s="5"/>
      <c r="D39" s="5"/>
      <c r="E39" s="5"/>
      <c r="F39" s="5"/>
      <c r="G39" s="5"/>
      <c r="H39" s="5"/>
      <c r="I39" s="5"/>
      <c r="J39" s="5"/>
      <c r="K39" s="5"/>
      <c r="L39" s="36"/>
      <c r="M39" s="25"/>
      <c r="N39" s="181"/>
      <c r="O39" s="181"/>
      <c r="P39" s="181"/>
      <c r="Q39" s="181"/>
      <c r="R39" s="181"/>
      <c r="S39" s="181"/>
      <c r="T39" s="181"/>
    </row>
    <row r="40" spans="1:20" s="6" customFormat="1" ht="38.25" customHeight="1" x14ac:dyDescent="0.2">
      <c r="A40" s="184" t="s">
        <v>47</v>
      </c>
      <c r="B40" s="184"/>
      <c r="C40" s="184"/>
      <c r="D40" s="184"/>
      <c r="E40" s="184"/>
      <c r="F40" s="184"/>
      <c r="G40" s="184"/>
      <c r="H40" s="184"/>
      <c r="I40" s="184"/>
      <c r="J40" s="184"/>
      <c r="K40" s="184"/>
      <c r="M40" s="37"/>
      <c r="N40" s="181"/>
      <c r="O40" s="181"/>
      <c r="P40" s="181"/>
      <c r="Q40" s="181"/>
      <c r="R40" s="181"/>
      <c r="S40" s="181"/>
      <c r="T40" s="181"/>
    </row>
    <row r="41" spans="1:20" s="8" customFormat="1" ht="12.75" customHeight="1" x14ac:dyDescent="0.25">
      <c r="A41" s="35"/>
      <c r="B41" s="13" t="s">
        <v>6</v>
      </c>
      <c r="C41" s="13" t="s">
        <v>7</v>
      </c>
      <c r="D41" s="13" t="s">
        <v>8</v>
      </c>
      <c r="E41" s="13" t="s">
        <v>9</v>
      </c>
      <c r="F41" s="13" t="s">
        <v>10</v>
      </c>
      <c r="G41" s="13" t="s">
        <v>11</v>
      </c>
      <c r="H41" s="13" t="s">
        <v>12</v>
      </c>
      <c r="I41" s="12"/>
      <c r="J41" s="185" t="s">
        <v>13</v>
      </c>
      <c r="K41" s="185"/>
      <c r="M41" s="25"/>
      <c r="N41" s="181"/>
      <c r="O41" s="181"/>
      <c r="P41" s="181"/>
      <c r="Q41" s="181"/>
      <c r="R41" s="181"/>
      <c r="S41" s="181"/>
      <c r="T41" s="181"/>
    </row>
    <row r="42" spans="1:20" s="8" customFormat="1" ht="12.75" customHeight="1" thickBot="1" x14ac:dyDescent="0.3">
      <c r="A42" s="35"/>
      <c r="B42" s="11" t="s">
        <v>48</v>
      </c>
      <c r="C42" s="11" t="s">
        <v>48</v>
      </c>
      <c r="D42" s="11" t="s">
        <v>48</v>
      </c>
      <c r="E42" s="11" t="s">
        <v>48</v>
      </c>
      <c r="F42" s="11" t="s">
        <v>48</v>
      </c>
      <c r="G42" s="11" t="s">
        <v>48</v>
      </c>
      <c r="H42" s="11" t="s">
        <v>48</v>
      </c>
      <c r="I42" s="12"/>
      <c r="J42" s="11" t="s">
        <v>48</v>
      </c>
      <c r="K42" s="11" t="s">
        <v>49</v>
      </c>
      <c r="M42" s="25"/>
      <c r="N42" s="181"/>
      <c r="O42" s="181"/>
      <c r="P42" s="181"/>
      <c r="Q42" s="181"/>
      <c r="R42" s="181"/>
      <c r="S42" s="181"/>
      <c r="T42" s="181"/>
    </row>
    <row r="43" spans="1:20" s="8" customFormat="1" ht="12.75" customHeight="1" x14ac:dyDescent="0.25">
      <c r="A43" s="15" t="s">
        <v>50</v>
      </c>
      <c r="B43" s="38">
        <f t="shared" ref="B43:C43" si="9">SUM(B58:B59,B63:B68)</f>
        <v>487.18555862000005</v>
      </c>
      <c r="C43" s="38">
        <f t="shared" si="9"/>
        <v>576.99486138999998</v>
      </c>
      <c r="D43" s="38">
        <f>ROUND(SUM(D58:D59,D63:D68),1)</f>
        <v>578.20000000000005</v>
      </c>
      <c r="E43" s="39">
        <f>ROUND(SUM(E58:E59,E63:E68),1)</f>
        <v>646.70000000000005</v>
      </c>
      <c r="F43" s="39">
        <f t="shared" ref="F43:G43" si="10">ROUND(SUM(F58:F59,F63:F68),1)</f>
        <v>1119.8</v>
      </c>
      <c r="G43" s="39">
        <f t="shared" si="10"/>
        <v>1031.4000000000001</v>
      </c>
      <c r="H43" s="39">
        <f>ROUND(SUM(H58:H59,H63:H68),1)</f>
        <v>978.1</v>
      </c>
      <c r="I43" s="40"/>
      <c r="J43" s="39">
        <f t="shared" ref="J43:J45" si="11">H43-F43</f>
        <v>-141.69999999999993</v>
      </c>
      <c r="K43" s="41">
        <f>+IF(F43&lt;&gt;0,IF((H43/F43)&lt;0,"n/m ",IF(ABS((J43)/F43)&gt;1,"large ",(J43)/F43*SIGN(F43))),"n/m ")</f>
        <v>-0.12654045365243788</v>
      </c>
      <c r="M43" s="38"/>
      <c r="N43" s="181"/>
      <c r="O43" s="181"/>
      <c r="P43" s="181"/>
      <c r="Q43" s="181"/>
      <c r="R43" s="181"/>
      <c r="S43" s="181"/>
      <c r="T43" s="181"/>
    </row>
    <row r="44" spans="1:20" s="8" customFormat="1" ht="12.75" customHeight="1" x14ac:dyDescent="0.25">
      <c r="A44" s="15" t="s">
        <v>51</v>
      </c>
      <c r="B44" s="42">
        <f t="shared" ref="B44:C44" si="12">SUM(B60:B62)</f>
        <v>-233.03</v>
      </c>
      <c r="C44" s="42">
        <f t="shared" si="12"/>
        <v>-242.79</v>
      </c>
      <c r="D44" s="42">
        <f>ROUND(SUM(D60:D62),1)</f>
        <v>-245.9</v>
      </c>
      <c r="E44" s="43">
        <f>ROUND(SUM(E60:E62),1)</f>
        <v>-247.1</v>
      </c>
      <c r="F44" s="43">
        <f t="shared" ref="F44:G44" si="13">ROUND(SUM(F60:F62),1)</f>
        <v>-361</v>
      </c>
      <c r="G44" s="43">
        <f t="shared" si="13"/>
        <v>-306.10000000000002</v>
      </c>
      <c r="H44" s="43">
        <f>ROUND(SUM(H60:H62),1)</f>
        <v>-286.8</v>
      </c>
      <c r="I44" s="40"/>
      <c r="J44" s="43">
        <f t="shared" si="11"/>
        <v>74.199999999999989</v>
      </c>
      <c r="K44" s="44">
        <f>+IF(F44&lt;&gt;0,IF((H44/F44)&lt;0,"n/m ",IF(ABS((J44)/F44)&gt;1,"large ",(J44)/F44*SIGN(F44))),"n/m ")</f>
        <v>0.20554016620498611</v>
      </c>
      <c r="M44" s="38"/>
      <c r="N44" s="181"/>
      <c r="O44" s="181"/>
      <c r="P44" s="181"/>
      <c r="Q44" s="181"/>
      <c r="R44" s="181"/>
      <c r="S44" s="181"/>
      <c r="T44" s="181"/>
    </row>
    <row r="45" spans="1:20" s="8" customFormat="1" ht="12.75" customHeight="1" x14ac:dyDescent="0.25">
      <c r="A45" s="12" t="s">
        <v>52</v>
      </c>
      <c r="B45" s="45">
        <f t="shared" ref="B45:G45" si="14">SUM(B43:B44)</f>
        <v>254.15555862000005</v>
      </c>
      <c r="C45" s="45">
        <f t="shared" si="14"/>
        <v>334.20486139000002</v>
      </c>
      <c r="D45" s="45">
        <f>SUM(D43:D44)</f>
        <v>332.30000000000007</v>
      </c>
      <c r="E45" s="46">
        <f t="shared" si="14"/>
        <v>399.6</v>
      </c>
      <c r="F45" s="46">
        <f t="shared" si="14"/>
        <v>758.8</v>
      </c>
      <c r="G45" s="46">
        <f t="shared" si="14"/>
        <v>725.30000000000007</v>
      </c>
      <c r="H45" s="46">
        <f>SUM(H43:H44)</f>
        <v>691.3</v>
      </c>
      <c r="I45" s="47"/>
      <c r="J45" s="46">
        <f t="shared" si="11"/>
        <v>-67.5</v>
      </c>
      <c r="K45" s="48">
        <f>+IF(F45&lt;&gt;0,IF((H45/F45)&lt;0,"n/m ",IF(ABS((J45)/F45)&gt;1,"large ",(J45)/F45*SIGN(F45))),"n/m ")</f>
        <v>-8.8956246705324205E-2</v>
      </c>
      <c r="M45" s="38"/>
      <c r="N45" s="181"/>
      <c r="O45" s="181"/>
      <c r="P45" s="181"/>
      <c r="Q45" s="181"/>
      <c r="R45" s="181"/>
      <c r="S45" s="181"/>
      <c r="T45" s="181"/>
    </row>
    <row r="46" spans="1:20" s="8" customFormat="1" ht="12.75" customHeight="1" x14ac:dyDescent="0.25">
      <c r="A46" s="35"/>
      <c r="B46" s="38"/>
      <c r="C46" s="38"/>
      <c r="D46" s="38"/>
      <c r="E46" s="39"/>
      <c r="F46" s="39"/>
      <c r="G46" s="39"/>
      <c r="H46" s="40"/>
      <c r="I46" s="40"/>
      <c r="J46" s="39"/>
      <c r="K46" s="49"/>
      <c r="M46" s="38"/>
      <c r="N46" s="181"/>
      <c r="O46" s="181"/>
      <c r="P46" s="181"/>
      <c r="Q46" s="181"/>
      <c r="R46" s="181"/>
      <c r="S46" s="181"/>
      <c r="T46" s="181"/>
    </row>
    <row r="47" spans="1:20" s="8" customFormat="1" ht="12.75" customHeight="1" x14ac:dyDescent="0.25">
      <c r="A47" s="15" t="s">
        <v>53</v>
      </c>
      <c r="B47" s="38">
        <f t="shared" ref="B47:E47" si="15">B85</f>
        <v>-163.65</v>
      </c>
      <c r="C47" s="38">
        <f t="shared" si="15"/>
        <v>-220.71999999999997</v>
      </c>
      <c r="D47" s="38">
        <f t="shared" si="15"/>
        <v>-229.29999999999998</v>
      </c>
      <c r="E47" s="39">
        <f t="shared" si="15"/>
        <v>-276.60000000000002</v>
      </c>
      <c r="F47" s="39">
        <f t="shared" ref="F47:G47" si="16">ROUND(F85,1)</f>
        <v>-558.5</v>
      </c>
      <c r="G47" s="39">
        <f t="shared" si="16"/>
        <v>-537.1</v>
      </c>
      <c r="H47" s="39">
        <f>ROUND(H85,1)</f>
        <v>-517.70000000000005</v>
      </c>
      <c r="I47" s="40"/>
      <c r="J47" s="39">
        <f t="shared" ref="J47:J51" si="17">H47-F47</f>
        <v>40.799999999999955</v>
      </c>
      <c r="K47" s="41">
        <f>+IF(F47&lt;&gt;0,IF((H47/F47)&lt;0,"n/m ",IF(ABS((J47)/F47)&gt;1,"large ",(J47)/F47*SIGN(F47))),"n/m ")</f>
        <v>7.3052820053715231E-2</v>
      </c>
      <c r="M47" s="38"/>
      <c r="N47" s="181"/>
      <c r="O47" s="181"/>
      <c r="P47" s="181"/>
      <c r="Q47" s="181"/>
      <c r="R47" s="181"/>
      <c r="S47" s="181"/>
      <c r="T47" s="181"/>
    </row>
    <row r="48" spans="1:20" s="8" customFormat="1" ht="12.75" customHeight="1" x14ac:dyDescent="0.25">
      <c r="A48" s="15" t="s">
        <v>54</v>
      </c>
      <c r="B48" s="38">
        <f t="shared" ref="B48:E48" si="18">B92</f>
        <v>-12.35</v>
      </c>
      <c r="C48" s="38">
        <f t="shared" si="18"/>
        <v>-14.6</v>
      </c>
      <c r="D48" s="38">
        <f t="shared" si="18"/>
        <v>-14.6</v>
      </c>
      <c r="E48" s="39">
        <f t="shared" si="18"/>
        <v>-16.7</v>
      </c>
      <c r="F48" s="39">
        <f t="shared" ref="F48:G48" si="19">ROUND(F92,1)</f>
        <v>-28.6</v>
      </c>
      <c r="G48" s="39">
        <f t="shared" si="19"/>
        <v>-27.5</v>
      </c>
      <c r="H48" s="39">
        <f>ROUND(H92,1)</f>
        <v>-25.5</v>
      </c>
      <c r="I48" s="40"/>
      <c r="J48" s="39">
        <f t="shared" si="17"/>
        <v>3.1000000000000014</v>
      </c>
      <c r="K48" s="41">
        <f>+IF(F48&lt;&gt;0,IF((H48/F48)&lt;0,"n/m ",IF(ABS((J48)/F48)&gt;1,"large ",(J48)/F48*SIGN(F48))),"n/m ")</f>
        <v>0.10839160839160844</v>
      </c>
      <c r="M48" s="38"/>
      <c r="N48" s="181"/>
      <c r="O48" s="181"/>
      <c r="P48" s="181"/>
      <c r="Q48" s="181"/>
      <c r="R48" s="181"/>
      <c r="S48" s="181"/>
      <c r="T48" s="181"/>
    </row>
    <row r="49" spans="1:20" s="8" customFormat="1" ht="12.75" customHeight="1" x14ac:dyDescent="0.25">
      <c r="A49" s="15" t="s">
        <v>55</v>
      </c>
      <c r="B49" s="38">
        <f t="shared" ref="B49:E49" si="20">B99</f>
        <v>0.95000000000000018</v>
      </c>
      <c r="C49" s="38">
        <f t="shared" si="20"/>
        <v>-3.9400000000000004</v>
      </c>
      <c r="D49" s="38">
        <f t="shared" si="20"/>
        <v>-3.3</v>
      </c>
      <c r="E49" s="39">
        <f t="shared" si="20"/>
        <v>-3.8</v>
      </c>
      <c r="F49" s="39">
        <f t="shared" ref="F49:G49" si="21">ROUND(F99,1)</f>
        <v>-14.9</v>
      </c>
      <c r="G49" s="39">
        <f t="shared" si="21"/>
        <v>-9.4</v>
      </c>
      <c r="H49" s="39">
        <f>ROUND(H99,1)</f>
        <v>-18.3</v>
      </c>
      <c r="I49" s="40"/>
      <c r="J49" s="39">
        <f t="shared" si="17"/>
        <v>-3.4000000000000004</v>
      </c>
      <c r="K49" s="41">
        <f>+IF(F49&lt;&gt;0,IF((H49/F49)&lt;0,"n/m ",IF(ABS((J49)/F49)&gt;1,"large ",(J49)/F49*SIGN(F49))),"n/m ")</f>
        <v>-0.22818791946308728</v>
      </c>
      <c r="M49" s="38"/>
      <c r="N49" s="181"/>
      <c r="O49" s="181"/>
      <c r="P49" s="181"/>
      <c r="Q49" s="181"/>
      <c r="R49" s="181"/>
      <c r="S49" s="181"/>
      <c r="T49" s="181"/>
    </row>
    <row r="50" spans="1:20" s="8" customFormat="1" ht="12.75" customHeight="1" x14ac:dyDescent="0.25">
      <c r="A50" s="15" t="s">
        <v>56</v>
      </c>
      <c r="B50" s="38">
        <f t="shared" ref="B50:E50" si="22">B103</f>
        <v>-22.639999999999997</v>
      </c>
      <c r="C50" s="38">
        <f t="shared" si="22"/>
        <v>-27.44</v>
      </c>
      <c r="D50" s="38">
        <f t="shared" si="22"/>
        <v>-24.5</v>
      </c>
      <c r="E50" s="39">
        <f t="shared" si="22"/>
        <v>-27</v>
      </c>
      <c r="F50" s="39">
        <f t="shared" ref="F50:G50" si="23">ROUND(F103,1)</f>
        <v>-42.9</v>
      </c>
      <c r="G50" s="39">
        <f t="shared" si="23"/>
        <v>-41.2</v>
      </c>
      <c r="H50" s="39">
        <f>ROUND(H103,1)</f>
        <v>-35.4</v>
      </c>
      <c r="I50" s="40"/>
      <c r="J50" s="39">
        <f t="shared" si="17"/>
        <v>7.5</v>
      </c>
      <c r="K50" s="41">
        <f>+IF(F50&lt;&gt;0,IF((H50/F50)&lt;0,"n/m ",IF(ABS((J50)/F50)&gt;1,"large ",(J50)/F50*SIGN(F50))),"n/m ")</f>
        <v>0.17482517482517482</v>
      </c>
      <c r="M50" s="38"/>
      <c r="N50" s="181"/>
      <c r="O50" s="181"/>
      <c r="P50" s="181"/>
      <c r="Q50" s="181"/>
      <c r="R50" s="181"/>
      <c r="S50" s="181"/>
      <c r="T50" s="181"/>
    </row>
    <row r="51" spans="1:20" s="8" customFormat="1" ht="12.75" customHeight="1" thickBot="1" x14ac:dyDescent="0.3">
      <c r="A51" s="12" t="s">
        <v>57</v>
      </c>
      <c r="B51" s="50">
        <f t="shared" ref="B51:G51" si="24">SUM(B45:B50)</f>
        <v>56.465558620000053</v>
      </c>
      <c r="C51" s="50">
        <f t="shared" si="24"/>
        <v>67.504861390000059</v>
      </c>
      <c r="D51" s="50">
        <f t="shared" si="24"/>
        <v>60.600000000000094</v>
      </c>
      <c r="E51" s="51">
        <f t="shared" si="24"/>
        <v>75.5</v>
      </c>
      <c r="F51" s="51">
        <f t="shared" si="24"/>
        <v>113.89999999999995</v>
      </c>
      <c r="G51" s="51">
        <f t="shared" si="24"/>
        <v>110.10000000000004</v>
      </c>
      <c r="H51" s="51">
        <f>SUM(H45:H50)</f>
        <v>94.399999999999892</v>
      </c>
      <c r="I51" s="47"/>
      <c r="J51" s="51">
        <f t="shared" si="17"/>
        <v>-19.500000000000057</v>
      </c>
      <c r="K51" s="52">
        <f>+IF(F51&lt;&gt;0,IF((H51/F51)&lt;0,"n/m ",IF(ABS((J51)/F51)&gt;1,"large ",(J51)/F51*SIGN(F51))),"n/m ")</f>
        <v>-0.17120280948200234</v>
      </c>
      <c r="M51" s="38"/>
      <c r="N51" s="181"/>
      <c r="O51" s="181"/>
      <c r="P51" s="181"/>
      <c r="Q51" s="181"/>
      <c r="R51" s="181"/>
      <c r="S51" s="181"/>
      <c r="T51" s="181"/>
    </row>
    <row r="52" spans="1:20" s="8" customFormat="1" ht="12.75" customHeight="1" x14ac:dyDescent="0.25">
      <c r="M52" s="38"/>
      <c r="N52" s="181"/>
      <c r="O52" s="181"/>
      <c r="P52" s="181"/>
      <c r="Q52" s="181"/>
      <c r="R52" s="181"/>
      <c r="S52" s="181"/>
      <c r="T52" s="181"/>
    </row>
    <row r="53" spans="1:20" s="3" customFormat="1" ht="18" customHeight="1" x14ac:dyDescent="0.25">
      <c r="A53" s="4" t="s">
        <v>58</v>
      </c>
      <c r="B53" s="5"/>
      <c r="C53" s="5"/>
      <c r="D53" s="5"/>
      <c r="E53" s="5"/>
      <c r="F53" s="5"/>
      <c r="G53" s="5"/>
      <c r="H53" s="5"/>
      <c r="I53" s="5"/>
      <c r="J53" s="5"/>
      <c r="K53" s="5"/>
      <c r="L53" s="5"/>
      <c r="M53" s="38"/>
      <c r="N53" s="181"/>
      <c r="O53" s="181"/>
      <c r="P53" s="181"/>
      <c r="Q53" s="181"/>
      <c r="R53" s="181"/>
      <c r="S53" s="181"/>
      <c r="T53" s="181"/>
    </row>
    <row r="54" spans="1:20" ht="25.5" customHeight="1" x14ac:dyDescent="0.2">
      <c r="A54" s="184" t="s">
        <v>59</v>
      </c>
      <c r="B54" s="184"/>
      <c r="C54" s="184"/>
      <c r="D54" s="184"/>
      <c r="E54" s="184"/>
      <c r="F54" s="184"/>
      <c r="G54" s="184"/>
      <c r="H54" s="184"/>
      <c r="I54" s="184"/>
      <c r="J54" s="184"/>
      <c r="K54" s="184"/>
      <c r="M54" s="53"/>
      <c r="N54" s="181"/>
      <c r="O54" s="181"/>
      <c r="P54" s="181"/>
      <c r="Q54" s="181"/>
      <c r="R54" s="181"/>
      <c r="S54" s="181"/>
      <c r="T54" s="181"/>
    </row>
    <row r="55" spans="1:20" s="8" customFormat="1" ht="12.75" customHeight="1" x14ac:dyDescent="0.25">
      <c r="B55" s="13" t="s">
        <v>6</v>
      </c>
      <c r="C55" s="13" t="s">
        <v>7</v>
      </c>
      <c r="D55" s="13" t="s">
        <v>8</v>
      </c>
      <c r="E55" s="13" t="s">
        <v>9</v>
      </c>
      <c r="F55" s="13" t="s">
        <v>10</v>
      </c>
      <c r="G55" s="13" t="s">
        <v>11</v>
      </c>
      <c r="H55" s="13" t="s">
        <v>12</v>
      </c>
      <c r="I55" s="12"/>
      <c r="J55" s="185" t="s">
        <v>13</v>
      </c>
      <c r="K55" s="185"/>
      <c r="M55" s="38"/>
      <c r="N55" s="181"/>
      <c r="O55" s="181"/>
      <c r="P55" s="181"/>
      <c r="Q55" s="181"/>
      <c r="R55" s="181"/>
      <c r="S55" s="181"/>
      <c r="T55" s="181"/>
    </row>
    <row r="56" spans="1:20" s="8" customFormat="1" ht="12.75" customHeight="1" thickBot="1" x14ac:dyDescent="0.3">
      <c r="B56" s="11" t="s">
        <v>48</v>
      </c>
      <c r="C56" s="11" t="s">
        <v>48</v>
      </c>
      <c r="D56" s="11" t="s">
        <v>48</v>
      </c>
      <c r="E56" s="11" t="s">
        <v>48</v>
      </c>
      <c r="F56" s="11" t="s">
        <v>48</v>
      </c>
      <c r="G56" s="11" t="s">
        <v>48</v>
      </c>
      <c r="H56" s="11" t="s">
        <v>48</v>
      </c>
      <c r="I56" s="12"/>
      <c r="J56" s="11" t="s">
        <v>48</v>
      </c>
      <c r="K56" s="11" t="s">
        <v>48</v>
      </c>
      <c r="M56" s="38"/>
      <c r="N56" s="181"/>
      <c r="O56" s="181"/>
      <c r="P56" s="181"/>
      <c r="Q56" s="181"/>
      <c r="R56" s="181"/>
      <c r="S56" s="181"/>
      <c r="T56" s="181"/>
    </row>
    <row r="57" spans="1:20" s="8" customFormat="1" ht="12.75" customHeight="1" x14ac:dyDescent="0.25">
      <c r="A57" s="12" t="s">
        <v>52</v>
      </c>
      <c r="M57" s="38"/>
      <c r="N57" s="181"/>
      <c r="O57" s="181"/>
      <c r="P57" s="181"/>
      <c r="Q57" s="181"/>
      <c r="R57" s="181"/>
      <c r="S57" s="181"/>
      <c r="T57" s="181"/>
    </row>
    <row r="58" spans="1:20" s="8" customFormat="1" ht="12.75" customHeight="1" x14ac:dyDescent="0.25">
      <c r="A58" s="15" t="s">
        <v>60</v>
      </c>
      <c r="B58" s="38">
        <v>458.23555862000006</v>
      </c>
      <c r="C58" s="38">
        <v>543.86486138999999</v>
      </c>
      <c r="D58" s="38">
        <v>553.1</v>
      </c>
      <c r="E58" s="39">
        <v>619.5</v>
      </c>
      <c r="F58" s="39">
        <v>1062</v>
      </c>
      <c r="G58" s="39">
        <v>980.6</v>
      </c>
      <c r="H58" s="39">
        <v>931.3</v>
      </c>
      <c r="I58" s="40"/>
      <c r="J58" s="39">
        <f>H58-F58</f>
        <v>-130.70000000000005</v>
      </c>
      <c r="K58" s="41">
        <f t="shared" ref="K58:K69" si="25">+IF(F58&lt;&gt;0,IF((H58/F58)&lt;0,"n/m ",IF(ABS((J58)/F58)&gt;1,"large ",(J58)/F58*SIGN(F58))),"n/m ")</f>
        <v>-0.1230696798493409</v>
      </c>
      <c r="M58" s="38"/>
      <c r="N58" s="181"/>
      <c r="O58" s="181"/>
      <c r="P58" s="181"/>
      <c r="Q58" s="181"/>
      <c r="R58" s="181"/>
      <c r="S58" s="181"/>
      <c r="T58" s="181"/>
    </row>
    <row r="59" spans="1:20" s="8" customFormat="1" ht="12.75" customHeight="1" x14ac:dyDescent="0.25">
      <c r="A59" s="15" t="s">
        <v>61</v>
      </c>
      <c r="B59" s="38">
        <v>23.1</v>
      </c>
      <c r="C59" s="38">
        <v>28.2</v>
      </c>
      <c r="D59" s="38">
        <v>23.5</v>
      </c>
      <c r="E59" s="39">
        <v>21.3</v>
      </c>
      <c r="F59" s="39">
        <v>43</v>
      </c>
      <c r="G59" s="39">
        <v>35.1</v>
      </c>
      <c r="H59" s="39">
        <v>28.2</v>
      </c>
      <c r="I59" s="40"/>
      <c r="J59" s="39">
        <f t="shared" ref="J59:J69" si="26">H59-F59</f>
        <v>-14.8</v>
      </c>
      <c r="K59" s="41">
        <f t="shared" si="25"/>
        <v>-0.34418604651162793</v>
      </c>
      <c r="M59" s="38"/>
      <c r="N59" s="181"/>
      <c r="O59" s="181"/>
      <c r="P59" s="181"/>
      <c r="Q59" s="181"/>
      <c r="R59" s="181"/>
      <c r="S59" s="181"/>
      <c r="T59" s="181"/>
    </row>
    <row r="60" spans="1:20" s="8" customFormat="1" ht="12.75" customHeight="1" x14ac:dyDescent="0.25">
      <c r="A60" s="15" t="s">
        <v>62</v>
      </c>
      <c r="B60" s="38">
        <v>-219</v>
      </c>
      <c r="C60" s="38">
        <v>-220.6</v>
      </c>
      <c r="D60" s="38">
        <v>-224.7</v>
      </c>
      <c r="E60" s="39">
        <v>-219.6</v>
      </c>
      <c r="F60" s="39">
        <v>-326.10000000000002</v>
      </c>
      <c r="G60" s="39">
        <v>-280.89999999999998</v>
      </c>
      <c r="H60" s="39">
        <v>-259.10000000000002</v>
      </c>
      <c r="I60" s="40"/>
      <c r="J60" s="39">
        <f t="shared" si="26"/>
        <v>67</v>
      </c>
      <c r="K60" s="41">
        <f t="shared" si="25"/>
        <v>0.2054584483287335</v>
      </c>
      <c r="M60" s="38"/>
      <c r="N60" s="181"/>
      <c r="O60" s="181"/>
      <c r="P60" s="181"/>
      <c r="Q60" s="181"/>
      <c r="R60" s="181"/>
      <c r="S60" s="181"/>
      <c r="T60" s="181"/>
    </row>
    <row r="61" spans="1:20" s="8" customFormat="1" ht="12.75" customHeight="1" x14ac:dyDescent="0.25">
      <c r="A61" s="15" t="s">
        <v>63</v>
      </c>
      <c r="B61" s="38">
        <v>-13.99</v>
      </c>
      <c r="C61" s="38">
        <v>-22.16</v>
      </c>
      <c r="D61" s="38">
        <v>-21.2</v>
      </c>
      <c r="E61" s="39">
        <v>-27.4</v>
      </c>
      <c r="F61" s="39">
        <v>-34.9</v>
      </c>
      <c r="G61" s="39">
        <v>-25.2</v>
      </c>
      <c r="H61" s="39">
        <v>-27.7</v>
      </c>
      <c r="I61" s="40"/>
      <c r="J61" s="39">
        <f t="shared" si="26"/>
        <v>7.1999999999999993</v>
      </c>
      <c r="K61" s="41">
        <f t="shared" si="25"/>
        <v>0.20630372492836674</v>
      </c>
      <c r="M61" s="38"/>
      <c r="N61" s="181"/>
      <c r="O61" s="181"/>
      <c r="P61" s="181"/>
      <c r="Q61" s="181"/>
      <c r="R61" s="181"/>
      <c r="S61" s="181"/>
      <c r="T61" s="181"/>
    </row>
    <row r="62" spans="1:20" s="8" customFormat="1" ht="12.75" customHeight="1" x14ac:dyDescent="0.25">
      <c r="A62" s="15" t="s">
        <v>64</v>
      </c>
      <c r="B62" s="38">
        <v>-0.04</v>
      </c>
      <c r="C62" s="38">
        <v>-0.03</v>
      </c>
      <c r="D62" s="38">
        <v>0</v>
      </c>
      <c r="E62" s="39">
        <v>-0.1</v>
      </c>
      <c r="F62" s="39">
        <v>0</v>
      </c>
      <c r="G62" s="39">
        <v>0</v>
      </c>
      <c r="H62" s="39">
        <v>0</v>
      </c>
      <c r="I62" s="40"/>
      <c r="J62" s="39">
        <f t="shared" si="26"/>
        <v>0</v>
      </c>
      <c r="K62" s="54" t="str">
        <f t="shared" si="25"/>
        <v xml:space="preserve">n/m </v>
      </c>
      <c r="M62" s="38"/>
      <c r="N62" s="181"/>
      <c r="O62" s="181"/>
      <c r="P62" s="181"/>
      <c r="Q62" s="181"/>
      <c r="R62" s="181"/>
      <c r="S62" s="181"/>
      <c r="T62" s="181"/>
    </row>
    <row r="63" spans="1:20" s="8" customFormat="1" ht="12.75" customHeight="1" x14ac:dyDescent="0.25">
      <c r="A63" s="15" t="s">
        <v>65</v>
      </c>
      <c r="B63" s="38">
        <v>1.7</v>
      </c>
      <c r="C63" s="38">
        <v>1.6</v>
      </c>
      <c r="D63" s="38">
        <v>1.7</v>
      </c>
      <c r="E63" s="39">
        <v>1.7</v>
      </c>
      <c r="F63" s="39">
        <v>2.6</v>
      </c>
      <c r="G63" s="39">
        <v>2.7</v>
      </c>
      <c r="H63" s="39">
        <v>2.5</v>
      </c>
      <c r="I63" s="40"/>
      <c r="J63" s="39">
        <f t="shared" si="26"/>
        <v>-0.10000000000000009</v>
      </c>
      <c r="K63" s="41">
        <f t="shared" si="25"/>
        <v>-3.8461538461538491E-2</v>
      </c>
      <c r="M63" s="38"/>
      <c r="N63" s="181"/>
      <c r="O63" s="181"/>
      <c r="P63" s="181"/>
      <c r="Q63" s="181"/>
      <c r="R63" s="181"/>
      <c r="S63" s="181"/>
      <c r="T63" s="181"/>
    </row>
    <row r="64" spans="1:20" s="8" customFormat="1" ht="12.75" customHeight="1" x14ac:dyDescent="0.25">
      <c r="A64" s="15" t="s">
        <v>66</v>
      </c>
      <c r="B64" s="38">
        <v>-0.7</v>
      </c>
      <c r="C64" s="38">
        <v>-0.6</v>
      </c>
      <c r="D64" s="38">
        <v>-0.5</v>
      </c>
      <c r="E64" s="39">
        <v>-0.5</v>
      </c>
      <c r="F64" s="39">
        <v>-0.7</v>
      </c>
      <c r="G64" s="39">
        <v>-0.7</v>
      </c>
      <c r="H64" s="39">
        <v>-0.7</v>
      </c>
      <c r="I64" s="40"/>
      <c r="J64" s="39">
        <f t="shared" si="26"/>
        <v>0</v>
      </c>
      <c r="K64" s="41">
        <f t="shared" si="25"/>
        <v>0</v>
      </c>
      <c r="M64" s="38"/>
      <c r="N64" s="181"/>
      <c r="O64" s="181"/>
      <c r="P64" s="181"/>
      <c r="Q64" s="181"/>
      <c r="R64" s="181"/>
      <c r="S64" s="181"/>
      <c r="T64" s="181"/>
    </row>
    <row r="65" spans="1:20" s="8" customFormat="1" ht="12.75" customHeight="1" x14ac:dyDescent="0.25">
      <c r="A65" s="15" t="s">
        <v>67</v>
      </c>
      <c r="B65" s="38">
        <v>0.79</v>
      </c>
      <c r="C65" s="38">
        <v>0.63</v>
      </c>
      <c r="D65" s="38">
        <v>0.3</v>
      </c>
      <c r="E65" s="39">
        <v>0.4</v>
      </c>
      <c r="F65" s="39">
        <v>0.2</v>
      </c>
      <c r="G65" s="39">
        <v>0.1</v>
      </c>
      <c r="H65" s="39">
        <v>0.2</v>
      </c>
      <c r="I65" s="40"/>
      <c r="J65" s="39">
        <f t="shared" si="26"/>
        <v>0</v>
      </c>
      <c r="K65" s="41">
        <f t="shared" si="25"/>
        <v>0</v>
      </c>
      <c r="M65" s="38"/>
      <c r="N65" s="181"/>
      <c r="O65" s="181"/>
      <c r="P65" s="181"/>
      <c r="Q65" s="181"/>
      <c r="R65" s="181"/>
      <c r="S65" s="181"/>
      <c r="T65" s="181"/>
    </row>
    <row r="66" spans="1:20" s="8" customFormat="1" ht="12.75" customHeight="1" x14ac:dyDescent="0.25">
      <c r="A66" s="55" t="s">
        <v>68</v>
      </c>
      <c r="B66" s="38">
        <v>0.02</v>
      </c>
      <c r="C66" s="38">
        <v>-7.0000000000000007E-2</v>
      </c>
      <c r="D66" s="38">
        <v>0</v>
      </c>
      <c r="E66" s="39">
        <v>0.2</v>
      </c>
      <c r="F66" s="39">
        <v>1.5</v>
      </c>
      <c r="G66" s="39">
        <v>0.4</v>
      </c>
      <c r="H66" s="39">
        <v>0</v>
      </c>
      <c r="I66" s="40"/>
      <c r="J66" s="39">
        <f t="shared" si="26"/>
        <v>-1.5</v>
      </c>
      <c r="K66" s="41">
        <f t="shared" si="25"/>
        <v>-1</v>
      </c>
      <c r="M66" s="38"/>
      <c r="N66" s="181"/>
      <c r="O66" s="181"/>
      <c r="P66" s="181"/>
      <c r="Q66" s="181"/>
      <c r="R66" s="181"/>
      <c r="S66" s="181"/>
      <c r="T66" s="181"/>
    </row>
    <row r="67" spans="1:20" s="8" customFormat="1" ht="12.75" customHeight="1" x14ac:dyDescent="0.25">
      <c r="A67" s="15" t="s">
        <v>69</v>
      </c>
      <c r="B67" s="38">
        <v>4.1500000000000004</v>
      </c>
      <c r="C67" s="38">
        <v>3.74</v>
      </c>
      <c r="D67" s="38">
        <v>0.8</v>
      </c>
      <c r="E67" s="39">
        <v>4.4000000000000004</v>
      </c>
      <c r="F67" s="39">
        <v>5.0999999999999996</v>
      </c>
      <c r="G67" s="39">
        <v>5.9</v>
      </c>
      <c r="H67" s="39">
        <v>11.9</v>
      </c>
      <c r="I67" s="40"/>
      <c r="J67" s="39">
        <f t="shared" si="26"/>
        <v>6.8000000000000007</v>
      </c>
      <c r="K67" s="54" t="str">
        <f t="shared" si="25"/>
        <v xml:space="preserve">large </v>
      </c>
      <c r="M67" s="38"/>
      <c r="N67" s="181"/>
      <c r="O67" s="181"/>
      <c r="P67" s="181"/>
      <c r="Q67" s="181"/>
      <c r="R67" s="181"/>
      <c r="S67" s="181"/>
      <c r="T67" s="181"/>
    </row>
    <row r="68" spans="1:20" s="8" customFormat="1" ht="12.75" customHeight="1" x14ac:dyDescent="0.25">
      <c r="A68" s="55" t="s">
        <v>70</v>
      </c>
      <c r="B68" s="42">
        <v>-0.11</v>
      </c>
      <c r="C68" s="42">
        <v>-0.37</v>
      </c>
      <c r="D68" s="42">
        <v>-0.7</v>
      </c>
      <c r="E68" s="43">
        <v>-0.3</v>
      </c>
      <c r="F68" s="43">
        <v>6.1</v>
      </c>
      <c r="G68" s="43">
        <v>7.3</v>
      </c>
      <c r="H68" s="43">
        <v>4.7</v>
      </c>
      <c r="I68" s="40"/>
      <c r="J68" s="43">
        <f t="shared" si="26"/>
        <v>-1.3999999999999995</v>
      </c>
      <c r="K68" s="56">
        <f t="shared" si="25"/>
        <v>-0.2295081967213114</v>
      </c>
      <c r="M68" s="38"/>
      <c r="N68" s="181"/>
      <c r="O68" s="181"/>
      <c r="P68" s="181"/>
      <c r="Q68" s="181"/>
      <c r="R68" s="181"/>
      <c r="S68" s="181"/>
      <c r="T68" s="181"/>
    </row>
    <row r="69" spans="1:20" s="8" customFormat="1" ht="12.75" customHeight="1" x14ac:dyDescent="0.25">
      <c r="A69" s="12" t="s">
        <v>71</v>
      </c>
      <c r="B69" s="45">
        <f t="shared" ref="B69:E69" si="27">SUM(B58:B68)</f>
        <v>254.15555862000008</v>
      </c>
      <c r="C69" s="45">
        <f t="shared" si="27"/>
        <v>334.20486139000002</v>
      </c>
      <c r="D69" s="45">
        <f t="shared" si="27"/>
        <v>332.30000000000007</v>
      </c>
      <c r="E69" s="46">
        <f t="shared" si="27"/>
        <v>399.59999999999985</v>
      </c>
      <c r="F69" s="46">
        <f t="shared" ref="F69:G69" si="28">ROUND(SUM(F58:F68),1)</f>
        <v>758.8</v>
      </c>
      <c r="G69" s="46">
        <f t="shared" si="28"/>
        <v>725.3</v>
      </c>
      <c r="H69" s="46">
        <f>ROUND(SUM(H58:H68),1)</f>
        <v>691.3</v>
      </c>
      <c r="I69" s="47"/>
      <c r="J69" s="46">
        <f t="shared" si="26"/>
        <v>-67.5</v>
      </c>
      <c r="K69" s="57">
        <f t="shared" si="25"/>
        <v>-8.8956246705324205E-2</v>
      </c>
      <c r="M69" s="38"/>
      <c r="N69" s="181"/>
      <c r="O69" s="181"/>
      <c r="P69" s="181"/>
      <c r="Q69" s="181"/>
      <c r="R69" s="181"/>
      <c r="S69" s="181"/>
      <c r="T69" s="181"/>
    </row>
    <row r="70" spans="1:20" s="8" customFormat="1" ht="12.75" customHeight="1" x14ac:dyDescent="0.25">
      <c r="A70" s="12"/>
      <c r="B70" s="45"/>
      <c r="C70" s="45"/>
      <c r="D70" s="45"/>
      <c r="E70" s="45"/>
      <c r="F70" s="45"/>
      <c r="G70" s="45"/>
      <c r="H70" s="12"/>
      <c r="I70" s="12"/>
      <c r="J70" s="45"/>
      <c r="K70" s="58"/>
      <c r="M70" s="38"/>
      <c r="N70" s="181"/>
      <c r="O70" s="181"/>
      <c r="P70" s="181"/>
      <c r="Q70" s="181"/>
      <c r="R70" s="181"/>
      <c r="S70" s="181"/>
      <c r="T70" s="181"/>
    </row>
    <row r="71" spans="1:20" s="3" customFormat="1" ht="18" customHeight="1" x14ac:dyDescent="0.25">
      <c r="A71" s="4" t="s">
        <v>72</v>
      </c>
      <c r="B71" s="5"/>
      <c r="C71" s="5"/>
      <c r="D71" s="5"/>
      <c r="E71" s="5"/>
      <c r="F71" s="5"/>
      <c r="G71" s="5"/>
      <c r="H71" s="5"/>
      <c r="I71" s="5"/>
      <c r="J71" s="5"/>
      <c r="K71" s="5"/>
      <c r="L71" s="5"/>
      <c r="M71" s="38"/>
      <c r="N71" s="181"/>
      <c r="O71" s="181"/>
      <c r="P71" s="181"/>
      <c r="Q71" s="181"/>
      <c r="R71" s="181"/>
      <c r="S71" s="181"/>
      <c r="T71" s="181"/>
    </row>
    <row r="72" spans="1:20" s="3" customFormat="1" ht="38.25" customHeight="1" x14ac:dyDescent="0.25">
      <c r="A72" s="184" t="s">
        <v>73</v>
      </c>
      <c r="B72" s="184"/>
      <c r="C72" s="184"/>
      <c r="D72" s="184"/>
      <c r="E72" s="184"/>
      <c r="F72" s="184"/>
      <c r="G72" s="184"/>
      <c r="H72" s="184"/>
      <c r="I72" s="184"/>
      <c r="J72" s="184"/>
      <c r="K72" s="184"/>
      <c r="M72" s="38"/>
      <c r="N72" s="181"/>
      <c r="O72" s="181"/>
      <c r="P72" s="181"/>
      <c r="Q72" s="181"/>
      <c r="R72" s="181"/>
      <c r="S72" s="181"/>
      <c r="T72" s="181"/>
    </row>
    <row r="73" spans="1:20" s="8" customFormat="1" ht="12.75" customHeight="1" x14ac:dyDescent="0.25">
      <c r="A73" s="35"/>
      <c r="B73" s="13" t="s">
        <v>6</v>
      </c>
      <c r="C73" s="13" t="s">
        <v>7</v>
      </c>
      <c r="D73" s="13" t="s">
        <v>8</v>
      </c>
      <c r="E73" s="13" t="s">
        <v>9</v>
      </c>
      <c r="F73" s="13" t="s">
        <v>10</v>
      </c>
      <c r="G73" s="13" t="s">
        <v>11</v>
      </c>
      <c r="H73" s="13" t="s">
        <v>12</v>
      </c>
      <c r="I73" s="12"/>
      <c r="J73" s="185" t="s">
        <v>13</v>
      </c>
      <c r="K73" s="185"/>
      <c r="M73" s="38"/>
      <c r="N73" s="181"/>
      <c r="O73" s="181"/>
      <c r="P73" s="181"/>
      <c r="Q73" s="181"/>
      <c r="R73" s="181"/>
      <c r="S73" s="181"/>
      <c r="T73" s="181"/>
    </row>
    <row r="74" spans="1:20" s="8" customFormat="1" ht="12.75" customHeight="1" thickBot="1" x14ac:dyDescent="0.3">
      <c r="A74" s="35"/>
      <c r="B74" s="11" t="s">
        <v>48</v>
      </c>
      <c r="C74" s="11" t="s">
        <v>48</v>
      </c>
      <c r="D74" s="11" t="s">
        <v>48</v>
      </c>
      <c r="E74" s="11" t="s">
        <v>48</v>
      </c>
      <c r="F74" s="11" t="s">
        <v>48</v>
      </c>
      <c r="G74" s="11" t="s">
        <v>48</v>
      </c>
      <c r="H74" s="11" t="s">
        <v>48</v>
      </c>
      <c r="I74" s="12"/>
      <c r="J74" s="11" t="s">
        <v>48</v>
      </c>
      <c r="K74" s="11" t="s">
        <v>49</v>
      </c>
      <c r="M74" s="38"/>
      <c r="N74" s="181"/>
      <c r="O74" s="181"/>
      <c r="P74" s="181"/>
      <c r="Q74" s="181"/>
      <c r="R74" s="181"/>
      <c r="S74" s="181"/>
      <c r="T74" s="181"/>
    </row>
    <row r="75" spans="1:20" s="8" customFormat="1" ht="12.75" customHeight="1" x14ac:dyDescent="0.25">
      <c r="A75" s="12" t="s">
        <v>53</v>
      </c>
      <c r="B75" s="38"/>
      <c r="C75" s="38"/>
      <c r="D75" s="38"/>
      <c r="E75" s="38"/>
      <c r="F75" s="38"/>
      <c r="G75" s="38"/>
      <c r="H75" s="12"/>
      <c r="I75" s="12"/>
      <c r="J75" s="45"/>
      <c r="K75" s="59"/>
      <c r="M75" s="38"/>
      <c r="N75" s="181"/>
      <c r="O75" s="181"/>
      <c r="P75" s="181"/>
      <c r="Q75" s="181"/>
      <c r="R75" s="181"/>
      <c r="S75" s="181"/>
      <c r="T75" s="181"/>
    </row>
    <row r="76" spans="1:20" s="8" customFormat="1" ht="12.75" customHeight="1" x14ac:dyDescent="0.25">
      <c r="A76" s="15" t="s">
        <v>74</v>
      </c>
      <c r="B76" s="38">
        <v>-108.61</v>
      </c>
      <c r="C76" s="38">
        <v>-159.41</v>
      </c>
      <c r="D76" s="38">
        <v>-143.80000000000001</v>
      </c>
      <c r="E76" s="38">
        <v>-177.8</v>
      </c>
      <c r="F76" s="38">
        <v>-354.7</v>
      </c>
      <c r="G76" s="38">
        <v>-329.4</v>
      </c>
      <c r="H76" s="38">
        <v>-335.6</v>
      </c>
      <c r="J76" s="38">
        <f t="shared" ref="J76:J85" si="29">H76-F76</f>
        <v>19.099999999999966</v>
      </c>
      <c r="K76" s="27">
        <f t="shared" ref="K76:K85" si="30">+IF(F76&lt;&gt;0,IF((H76/F76)&lt;0,"n/m ",IF(ABS((J76)/F76)&gt;1,"large ",(J76)/F76*SIGN(F76))),"n/m ")</f>
        <v>5.3848322526078282E-2</v>
      </c>
      <c r="M76" s="38"/>
      <c r="N76" s="181"/>
      <c r="O76" s="181"/>
      <c r="P76" s="181"/>
      <c r="Q76" s="181"/>
      <c r="R76" s="181"/>
      <c r="S76" s="181"/>
      <c r="T76" s="181"/>
    </row>
    <row r="77" spans="1:20" s="8" customFormat="1" ht="12.75" customHeight="1" x14ac:dyDescent="0.25">
      <c r="A77" s="15" t="s">
        <v>75</v>
      </c>
      <c r="B77" s="38">
        <v>-8.5399999999999991</v>
      </c>
      <c r="C77" s="38">
        <v>-9.9499999999999993</v>
      </c>
      <c r="D77" s="38">
        <v>-9.9</v>
      </c>
      <c r="E77" s="38">
        <v>-13</v>
      </c>
      <c r="F77" s="38">
        <v>-26.1</v>
      </c>
      <c r="G77" s="38">
        <v>-24.6</v>
      </c>
      <c r="H77" s="38">
        <v>-26.4</v>
      </c>
      <c r="J77" s="38">
        <f t="shared" si="29"/>
        <v>-0.29999999999999716</v>
      </c>
      <c r="K77" s="27">
        <f t="shared" si="30"/>
        <v>-1.1494252873563109E-2</v>
      </c>
      <c r="M77" s="38"/>
      <c r="N77" s="181"/>
      <c r="O77" s="181"/>
      <c r="P77" s="181"/>
      <c r="Q77" s="181"/>
      <c r="R77" s="181"/>
      <c r="S77" s="181"/>
      <c r="T77" s="181"/>
    </row>
    <row r="78" spans="1:20" s="8" customFormat="1" ht="12.75" customHeight="1" x14ac:dyDescent="0.25">
      <c r="A78" s="15" t="s">
        <v>76</v>
      </c>
      <c r="B78" s="38">
        <v>-19.87</v>
      </c>
      <c r="C78" s="38">
        <v>-20.25</v>
      </c>
      <c r="D78" s="38">
        <v>-35.6</v>
      </c>
      <c r="E78" s="38">
        <v>-37.5</v>
      </c>
      <c r="F78" s="38">
        <v>-93.7</v>
      </c>
      <c r="G78" s="38">
        <v>-82.6</v>
      </c>
      <c r="H78" s="38">
        <v>-76.400000000000006</v>
      </c>
      <c r="J78" s="38">
        <f t="shared" si="29"/>
        <v>17.299999999999997</v>
      </c>
      <c r="K78" s="27">
        <f t="shared" si="30"/>
        <v>0.18463180362860188</v>
      </c>
      <c r="M78" s="38"/>
      <c r="N78" s="181"/>
      <c r="O78" s="181"/>
      <c r="P78" s="181"/>
      <c r="Q78" s="181"/>
      <c r="R78" s="181"/>
      <c r="S78" s="181"/>
      <c r="T78" s="181"/>
    </row>
    <row r="79" spans="1:20" s="8" customFormat="1" ht="12.75" customHeight="1" x14ac:dyDescent="0.25">
      <c r="A79" s="15" t="s">
        <v>77</v>
      </c>
      <c r="B79" s="38">
        <v>-4.41</v>
      </c>
      <c r="C79" s="38">
        <v>-11.01</v>
      </c>
      <c r="D79" s="38">
        <v>-20.2</v>
      </c>
      <c r="E79" s="38">
        <v>-25.1</v>
      </c>
      <c r="F79" s="38">
        <v>-32.299999999999997</v>
      </c>
      <c r="G79" s="38">
        <v>-41.1</v>
      </c>
      <c r="H79" s="38">
        <v>-27</v>
      </c>
      <c r="J79" s="38">
        <f t="shared" si="29"/>
        <v>5.2999999999999972</v>
      </c>
      <c r="K79" s="27">
        <f t="shared" si="30"/>
        <v>0.16408668730650147</v>
      </c>
      <c r="M79" s="38"/>
      <c r="N79" s="181"/>
      <c r="O79" s="181"/>
      <c r="P79" s="181"/>
      <c r="Q79" s="181"/>
      <c r="R79" s="181"/>
      <c r="S79" s="181"/>
      <c r="T79" s="181"/>
    </row>
    <row r="80" spans="1:20" s="8" customFormat="1" ht="12.75" customHeight="1" x14ac:dyDescent="0.25">
      <c r="A80" s="15" t="s">
        <v>78</v>
      </c>
      <c r="B80" s="38">
        <v>-6.57</v>
      </c>
      <c r="C80" s="38">
        <v>-2.77</v>
      </c>
      <c r="D80" s="38">
        <v>-2.2000000000000002</v>
      </c>
      <c r="E80" s="38">
        <v>-3.8</v>
      </c>
      <c r="F80" s="38">
        <v>-5</v>
      </c>
      <c r="G80" s="38">
        <v>-7.1</v>
      </c>
      <c r="H80" s="38">
        <v>-7.6</v>
      </c>
      <c r="J80" s="38">
        <f t="shared" si="29"/>
        <v>-2.5999999999999996</v>
      </c>
      <c r="K80" s="27">
        <f t="shared" si="30"/>
        <v>-0.51999999999999991</v>
      </c>
      <c r="M80" s="38"/>
      <c r="N80" s="181"/>
      <c r="O80" s="181"/>
      <c r="P80" s="181"/>
      <c r="Q80" s="181"/>
      <c r="R80" s="181"/>
      <c r="S80" s="181"/>
      <c r="T80" s="181"/>
    </row>
    <row r="81" spans="1:20" s="8" customFormat="1" ht="12.75" customHeight="1" x14ac:dyDescent="0.25">
      <c r="A81" s="15" t="s">
        <v>79</v>
      </c>
      <c r="B81" s="38">
        <v>-9.0299999999999994</v>
      </c>
      <c r="C81" s="38">
        <v>-12.56</v>
      </c>
      <c r="D81" s="38">
        <v>-13.1</v>
      </c>
      <c r="E81" s="38">
        <v>-14.2</v>
      </c>
      <c r="F81" s="38">
        <v>-28.2</v>
      </c>
      <c r="G81" s="38">
        <v>-35.700000000000003</v>
      </c>
      <c r="H81" s="38">
        <v>-31.5</v>
      </c>
      <c r="J81" s="38">
        <f t="shared" si="29"/>
        <v>-3.3000000000000007</v>
      </c>
      <c r="K81" s="27">
        <f t="shared" si="30"/>
        <v>-0.11702127659574471</v>
      </c>
      <c r="M81" s="38"/>
      <c r="N81" s="181"/>
      <c r="O81" s="181"/>
      <c r="P81" s="181"/>
      <c r="Q81" s="181"/>
      <c r="R81" s="181"/>
      <c r="S81" s="181"/>
      <c r="T81" s="181"/>
    </row>
    <row r="82" spans="1:20" s="8" customFormat="1" ht="12.75" customHeight="1" x14ac:dyDescent="0.25">
      <c r="A82" s="15" t="s">
        <v>80</v>
      </c>
      <c r="B82" s="38">
        <v>-3.02</v>
      </c>
      <c r="C82" s="38">
        <v>-3.76</v>
      </c>
      <c r="D82" s="38">
        <v>-4</v>
      </c>
      <c r="E82" s="38">
        <v>-5.0999999999999996</v>
      </c>
      <c r="F82" s="38">
        <v>-16.3</v>
      </c>
      <c r="G82" s="38">
        <v>-11</v>
      </c>
      <c r="H82" s="38">
        <v>-7.4</v>
      </c>
      <c r="J82" s="38">
        <f t="shared" si="29"/>
        <v>8.9</v>
      </c>
      <c r="K82" s="27">
        <f t="shared" si="30"/>
        <v>0.54601226993865026</v>
      </c>
      <c r="M82" s="38"/>
      <c r="N82" s="181"/>
      <c r="O82" s="181"/>
      <c r="P82" s="181"/>
      <c r="Q82" s="181"/>
      <c r="R82" s="181"/>
      <c r="S82" s="181"/>
      <c r="T82" s="181"/>
    </row>
    <row r="83" spans="1:20" s="8" customFormat="1" ht="12.75" customHeight="1" x14ac:dyDescent="0.25">
      <c r="A83" s="15" t="s">
        <v>81</v>
      </c>
      <c r="B83" s="38">
        <v>-3.59</v>
      </c>
      <c r="C83" s="38">
        <v>-1.01</v>
      </c>
      <c r="D83" s="38">
        <v>-0.5</v>
      </c>
      <c r="E83" s="38">
        <v>0.2</v>
      </c>
      <c r="F83" s="38">
        <v>-0.5</v>
      </c>
      <c r="G83" s="38">
        <v>-1.6</v>
      </c>
      <c r="H83" s="38">
        <v>-3.8</v>
      </c>
      <c r="J83" s="38">
        <f t="shared" si="29"/>
        <v>-3.3</v>
      </c>
      <c r="K83" s="27" t="str">
        <f t="shared" si="30"/>
        <v xml:space="preserve">large </v>
      </c>
      <c r="M83" s="38"/>
      <c r="N83" s="181"/>
      <c r="O83" s="181"/>
      <c r="P83" s="181"/>
      <c r="Q83" s="181"/>
      <c r="R83" s="181"/>
      <c r="S83" s="181"/>
      <c r="T83" s="181"/>
    </row>
    <row r="84" spans="1:20" s="8" customFormat="1" ht="12.75" customHeight="1" x14ac:dyDescent="0.25">
      <c r="A84" s="15" t="s">
        <v>82</v>
      </c>
      <c r="B84" s="42">
        <v>-0.01</v>
      </c>
      <c r="C84" s="42">
        <v>0</v>
      </c>
      <c r="D84" s="42">
        <v>0</v>
      </c>
      <c r="E84" s="42">
        <v>-0.3</v>
      </c>
      <c r="F84" s="42">
        <v>-1.7</v>
      </c>
      <c r="G84" s="42">
        <v>-4</v>
      </c>
      <c r="H84" s="42">
        <v>-2</v>
      </c>
      <c r="J84" s="42">
        <f t="shared" si="29"/>
        <v>-0.30000000000000004</v>
      </c>
      <c r="K84" s="60">
        <f t="shared" si="30"/>
        <v>-0.17647058823529416</v>
      </c>
      <c r="M84" s="38"/>
      <c r="N84" s="181"/>
      <c r="O84" s="181"/>
      <c r="P84" s="181"/>
      <c r="Q84" s="181"/>
      <c r="R84" s="181"/>
      <c r="S84" s="181"/>
      <c r="T84" s="181"/>
    </row>
    <row r="85" spans="1:20" s="8" customFormat="1" ht="12.75" customHeight="1" x14ac:dyDescent="0.25">
      <c r="A85" s="12" t="s">
        <v>83</v>
      </c>
      <c r="B85" s="45">
        <f t="shared" ref="B85:E85" si="31">SUM(B76:B84)</f>
        <v>-163.65</v>
      </c>
      <c r="C85" s="45">
        <f t="shared" si="31"/>
        <v>-220.71999999999997</v>
      </c>
      <c r="D85" s="45">
        <f t="shared" si="31"/>
        <v>-229.29999999999998</v>
      </c>
      <c r="E85" s="45">
        <f t="shared" si="31"/>
        <v>-276.60000000000002</v>
      </c>
      <c r="F85" s="45">
        <f t="shared" ref="F85:G85" si="32">ROUND(SUM(F76:F84),1)</f>
        <v>-558.5</v>
      </c>
      <c r="G85" s="45">
        <f t="shared" si="32"/>
        <v>-537.1</v>
      </c>
      <c r="H85" s="45">
        <f>ROUND(SUM(H76:H84),1)</f>
        <v>-517.70000000000005</v>
      </c>
      <c r="I85" s="12"/>
      <c r="J85" s="45">
        <f t="shared" si="29"/>
        <v>40.799999999999955</v>
      </c>
      <c r="K85" s="59">
        <f t="shared" si="30"/>
        <v>7.3052820053715231E-2</v>
      </c>
      <c r="M85" s="38"/>
      <c r="N85" s="181"/>
      <c r="O85" s="181"/>
      <c r="P85" s="181"/>
      <c r="Q85" s="181"/>
      <c r="R85" s="181"/>
      <c r="S85" s="181"/>
      <c r="T85" s="181"/>
    </row>
    <row r="86" spans="1:20" s="8" customFormat="1" ht="12.75" customHeight="1" x14ac:dyDescent="0.25">
      <c r="A86" s="12" t="s">
        <v>84</v>
      </c>
      <c r="B86" s="38"/>
      <c r="C86" s="38"/>
      <c r="D86" s="38"/>
      <c r="E86" s="38"/>
      <c r="F86" s="38"/>
      <c r="G86" s="38"/>
      <c r="J86" s="38"/>
      <c r="K86" s="27"/>
      <c r="M86" s="38"/>
      <c r="N86" s="181"/>
      <c r="O86" s="181"/>
      <c r="P86" s="181"/>
      <c r="Q86" s="181"/>
      <c r="R86" s="181"/>
      <c r="S86" s="181"/>
      <c r="T86" s="181"/>
    </row>
    <row r="87" spans="1:20" s="8" customFormat="1" ht="12.75" customHeight="1" x14ac:dyDescent="0.25">
      <c r="A87" s="15" t="s">
        <v>85</v>
      </c>
      <c r="B87" s="38">
        <v>-1.77</v>
      </c>
      <c r="C87" s="38">
        <v>-1.1599999999999999</v>
      </c>
      <c r="D87" s="38">
        <v>-1.2</v>
      </c>
      <c r="E87" s="38">
        <v>-1</v>
      </c>
      <c r="F87" s="38">
        <v>-1</v>
      </c>
      <c r="G87" s="38">
        <v>-1.8</v>
      </c>
      <c r="H87" s="38">
        <v>-1.9</v>
      </c>
      <c r="J87" s="38">
        <f t="shared" ref="J87:J92" si="33">H87-F87</f>
        <v>-0.89999999999999991</v>
      </c>
      <c r="K87" s="27">
        <f t="shared" ref="K87:K92" si="34">+IF(F87&lt;&gt;0,IF((H87/F87)&lt;0,"n/m ",IF(ABS((J87)/F87)&gt;1,"large ",(J87)/F87*SIGN(F87))),"n/m ")</f>
        <v>-0.89999999999999991</v>
      </c>
      <c r="M87" s="38"/>
      <c r="N87" s="181"/>
      <c r="O87" s="181"/>
      <c r="P87" s="181"/>
      <c r="Q87" s="181"/>
      <c r="R87" s="181"/>
      <c r="S87" s="181"/>
      <c r="T87" s="181"/>
    </row>
    <row r="88" spans="1:20" s="8" customFormat="1" ht="12.75" customHeight="1" x14ac:dyDescent="0.25">
      <c r="A88" s="15" t="s">
        <v>86</v>
      </c>
      <c r="B88" s="38">
        <v>-10.210000000000001</v>
      </c>
      <c r="C88" s="38">
        <v>-13</v>
      </c>
      <c r="D88" s="38">
        <v>-13</v>
      </c>
      <c r="E88" s="38">
        <v>-15.3</v>
      </c>
      <c r="F88" s="38">
        <v>-19.100000000000001</v>
      </c>
      <c r="G88" s="38">
        <v>-21.9</v>
      </c>
      <c r="H88" s="38">
        <v>-21.1</v>
      </c>
      <c r="J88" s="38">
        <f t="shared" si="33"/>
        <v>-2</v>
      </c>
      <c r="K88" s="27">
        <f t="shared" si="34"/>
        <v>-0.10471204188481674</v>
      </c>
      <c r="M88" s="38"/>
      <c r="N88" s="181"/>
      <c r="O88" s="181"/>
      <c r="P88" s="181"/>
      <c r="Q88" s="181"/>
      <c r="R88" s="181"/>
      <c r="S88" s="181"/>
      <c r="T88" s="181"/>
    </row>
    <row r="89" spans="1:20" s="8" customFormat="1" ht="12.75" customHeight="1" x14ac:dyDescent="0.25">
      <c r="A89" s="15" t="s">
        <v>87</v>
      </c>
      <c r="B89" s="38">
        <v>-0.37</v>
      </c>
      <c r="C89" s="38">
        <v>-0.44</v>
      </c>
      <c r="D89" s="38">
        <v>-0.4</v>
      </c>
      <c r="E89" s="38">
        <v>-0.4</v>
      </c>
      <c r="F89" s="38">
        <v>-0.7</v>
      </c>
      <c r="G89" s="38">
        <v>-0.5</v>
      </c>
      <c r="H89" s="38">
        <v>-1.3</v>
      </c>
      <c r="J89" s="38">
        <f t="shared" si="33"/>
        <v>-0.60000000000000009</v>
      </c>
      <c r="K89" s="61">
        <f t="shared" si="34"/>
        <v>-0.85714285714285732</v>
      </c>
      <c r="M89" s="38"/>
      <c r="N89" s="181"/>
      <c r="O89" s="181"/>
      <c r="P89" s="181"/>
      <c r="Q89" s="181"/>
      <c r="R89" s="181"/>
      <c r="S89" s="181"/>
      <c r="T89" s="181"/>
    </row>
    <row r="90" spans="1:20" s="8" customFormat="1" ht="12.75" customHeight="1" x14ac:dyDescent="0.25">
      <c r="A90" s="15" t="s">
        <v>88</v>
      </c>
      <c r="B90" s="38">
        <v>0</v>
      </c>
      <c r="C90" s="38">
        <v>0</v>
      </c>
      <c r="D90" s="38">
        <v>0</v>
      </c>
      <c r="E90" s="38">
        <v>0</v>
      </c>
      <c r="F90" s="38">
        <v>-7.8</v>
      </c>
      <c r="G90" s="38">
        <v>0</v>
      </c>
      <c r="H90" s="38">
        <v>-1.2</v>
      </c>
      <c r="J90" s="38">
        <f t="shared" si="33"/>
        <v>6.6</v>
      </c>
      <c r="K90" s="61">
        <f t="shared" si="34"/>
        <v>0.84615384615384615</v>
      </c>
      <c r="M90" s="38"/>
      <c r="N90" s="181"/>
      <c r="O90" s="181"/>
      <c r="P90" s="181"/>
      <c r="Q90" s="181"/>
      <c r="R90" s="181"/>
      <c r="S90" s="181"/>
      <c r="T90" s="181"/>
    </row>
    <row r="91" spans="1:20" s="8" customFormat="1" ht="12.75" customHeight="1" x14ac:dyDescent="0.25">
      <c r="A91" s="15" t="s">
        <v>89</v>
      </c>
      <c r="B91" s="42">
        <v>0</v>
      </c>
      <c r="C91" s="42">
        <v>0</v>
      </c>
      <c r="D91" s="42">
        <v>0</v>
      </c>
      <c r="E91" s="42">
        <v>0</v>
      </c>
      <c r="F91" s="42">
        <v>0</v>
      </c>
      <c r="G91" s="42">
        <v>-3.3</v>
      </c>
      <c r="H91" s="42">
        <v>0</v>
      </c>
      <c r="J91" s="42">
        <f t="shared" si="33"/>
        <v>0</v>
      </c>
      <c r="K91" s="60" t="str">
        <f t="shared" si="34"/>
        <v xml:space="preserve">n/m </v>
      </c>
      <c r="M91" s="38"/>
      <c r="N91" s="181"/>
      <c r="O91" s="181"/>
      <c r="P91" s="181"/>
      <c r="Q91" s="181"/>
      <c r="R91" s="181"/>
      <c r="S91" s="181"/>
      <c r="T91" s="181"/>
    </row>
    <row r="92" spans="1:20" s="8" customFormat="1" ht="12.75" customHeight="1" x14ac:dyDescent="0.25">
      <c r="A92" s="12" t="s">
        <v>90</v>
      </c>
      <c r="B92" s="45">
        <f t="shared" ref="B92:E92" si="35">SUM(B87:B91)</f>
        <v>-12.35</v>
      </c>
      <c r="C92" s="45">
        <f t="shared" si="35"/>
        <v>-14.6</v>
      </c>
      <c r="D92" s="45">
        <f t="shared" si="35"/>
        <v>-14.6</v>
      </c>
      <c r="E92" s="45">
        <f t="shared" si="35"/>
        <v>-16.7</v>
      </c>
      <c r="F92" s="45">
        <f t="shared" ref="F92:G92" si="36">ROUND(SUM(F87:F91),1)</f>
        <v>-28.6</v>
      </c>
      <c r="G92" s="45">
        <f t="shared" si="36"/>
        <v>-27.5</v>
      </c>
      <c r="H92" s="45">
        <f>ROUND(SUM(H87:H91),1)</f>
        <v>-25.5</v>
      </c>
      <c r="I92" s="12"/>
      <c r="J92" s="45">
        <f t="shared" si="33"/>
        <v>3.1000000000000014</v>
      </c>
      <c r="K92" s="59">
        <f t="shared" si="34"/>
        <v>0.10839160839160844</v>
      </c>
      <c r="M92" s="38"/>
      <c r="N92" s="181"/>
      <c r="O92" s="181"/>
      <c r="P92" s="181"/>
      <c r="Q92" s="181"/>
      <c r="R92" s="181"/>
      <c r="S92" s="181"/>
      <c r="T92" s="181"/>
    </row>
    <row r="93" spans="1:20" s="8" customFormat="1" ht="12.75" customHeight="1" x14ac:dyDescent="0.25">
      <c r="A93" s="12" t="s">
        <v>55</v>
      </c>
      <c r="B93" s="38"/>
      <c r="C93" s="38"/>
      <c r="D93" s="38"/>
      <c r="E93" s="38"/>
      <c r="F93" s="38"/>
      <c r="G93" s="38"/>
      <c r="J93" s="38"/>
      <c r="K93" s="27"/>
      <c r="M93" s="38"/>
      <c r="N93" s="181"/>
      <c r="O93" s="181"/>
      <c r="P93" s="181"/>
      <c r="Q93" s="181"/>
      <c r="R93" s="181"/>
      <c r="S93" s="181"/>
      <c r="T93" s="181"/>
    </row>
    <row r="94" spans="1:20" s="8" customFormat="1" ht="12.75" customHeight="1" x14ac:dyDescent="0.25">
      <c r="A94" s="15" t="s">
        <v>91</v>
      </c>
      <c r="B94" s="38">
        <v>0.08</v>
      </c>
      <c r="C94" s="38">
        <v>0.01</v>
      </c>
      <c r="D94" s="38">
        <v>0</v>
      </c>
      <c r="E94" s="38">
        <v>0</v>
      </c>
      <c r="F94" s="38">
        <v>0</v>
      </c>
      <c r="G94" s="38">
        <v>0</v>
      </c>
      <c r="H94" s="38">
        <v>0</v>
      </c>
      <c r="J94" s="38">
        <f t="shared" ref="J94:J99" si="37">H94-F94</f>
        <v>0</v>
      </c>
      <c r="K94" s="27" t="str">
        <f t="shared" ref="K94:K99" si="38">+IF(F94&lt;&gt;0,IF((H94/F94)&lt;0,"n/m ",IF(ABS((J94)/F94)&gt;1,"large ",(J94)/F94*SIGN(F94))),"n/m ")</f>
        <v xml:space="preserve">n/m </v>
      </c>
      <c r="M94" s="38"/>
      <c r="N94" s="181"/>
      <c r="O94" s="181"/>
      <c r="P94" s="181"/>
      <c r="Q94" s="181"/>
      <c r="R94" s="181"/>
      <c r="S94" s="181"/>
      <c r="T94" s="181"/>
    </row>
    <row r="95" spans="1:20" s="8" customFormat="1" ht="12.75" customHeight="1" x14ac:dyDescent="0.25">
      <c r="A95" s="15" t="s">
        <v>92</v>
      </c>
      <c r="B95" s="38">
        <v>0</v>
      </c>
      <c r="C95" s="38">
        <v>0</v>
      </c>
      <c r="D95" s="38">
        <v>0</v>
      </c>
      <c r="E95" s="38">
        <v>0.3</v>
      </c>
      <c r="F95" s="38">
        <v>2</v>
      </c>
      <c r="G95" s="38">
        <v>2.1</v>
      </c>
      <c r="H95" s="38">
        <v>3.4</v>
      </c>
      <c r="J95" s="38">
        <f t="shared" si="37"/>
        <v>1.4</v>
      </c>
      <c r="K95" s="27">
        <f t="shared" si="38"/>
        <v>0.7</v>
      </c>
      <c r="M95" s="38"/>
      <c r="N95" s="181"/>
      <c r="O95" s="181"/>
      <c r="P95" s="181"/>
      <c r="Q95" s="181"/>
      <c r="R95" s="181"/>
      <c r="S95" s="181"/>
      <c r="T95" s="181"/>
    </row>
    <row r="96" spans="1:20" s="8" customFormat="1" ht="12.75" customHeight="1" x14ac:dyDescent="0.25">
      <c r="A96" s="15" t="s">
        <v>93</v>
      </c>
      <c r="B96" s="38">
        <v>8.68</v>
      </c>
      <c r="C96" s="38">
        <v>2.5</v>
      </c>
      <c r="D96" s="38">
        <v>2</v>
      </c>
      <c r="E96" s="38">
        <v>1.5</v>
      </c>
      <c r="F96" s="38">
        <v>0.4</v>
      </c>
      <c r="G96" s="38">
        <v>0.5</v>
      </c>
      <c r="H96" s="38">
        <v>4.8</v>
      </c>
      <c r="J96" s="38">
        <f t="shared" si="37"/>
        <v>4.3999999999999995</v>
      </c>
      <c r="K96" s="27" t="str">
        <f t="shared" si="38"/>
        <v xml:space="preserve">large </v>
      </c>
      <c r="M96" s="38"/>
      <c r="N96" s="181"/>
      <c r="O96" s="181"/>
      <c r="P96" s="181"/>
      <c r="Q96" s="181"/>
      <c r="R96" s="181"/>
      <c r="S96" s="181"/>
      <c r="T96" s="181"/>
    </row>
    <row r="97" spans="1:20" s="8" customFormat="1" ht="12.75" customHeight="1" x14ac:dyDescent="0.25">
      <c r="A97" s="15" t="s">
        <v>94</v>
      </c>
      <c r="B97" s="38">
        <v>0</v>
      </c>
      <c r="C97" s="38">
        <v>0</v>
      </c>
      <c r="D97" s="38">
        <v>0</v>
      </c>
      <c r="E97" s="38">
        <v>0</v>
      </c>
      <c r="F97" s="38">
        <v>-2</v>
      </c>
      <c r="G97" s="38">
        <v>2</v>
      </c>
      <c r="H97" s="38">
        <v>0</v>
      </c>
      <c r="J97" s="38">
        <f t="shared" si="37"/>
        <v>2</v>
      </c>
      <c r="K97" s="27">
        <f t="shared" si="38"/>
        <v>1</v>
      </c>
      <c r="M97" s="38"/>
      <c r="N97" s="181"/>
      <c r="O97" s="181"/>
      <c r="P97" s="181"/>
      <c r="Q97" s="181"/>
      <c r="R97" s="181"/>
      <c r="S97" s="181"/>
      <c r="T97" s="181"/>
    </row>
    <row r="98" spans="1:20" s="8" customFormat="1" ht="12.75" customHeight="1" x14ac:dyDescent="0.25">
      <c r="A98" s="15" t="s">
        <v>95</v>
      </c>
      <c r="B98" s="42">
        <v>-7.81</v>
      </c>
      <c r="C98" s="42">
        <v>-6.45</v>
      </c>
      <c r="D98" s="42">
        <v>-5.3</v>
      </c>
      <c r="E98" s="42">
        <v>-5.6</v>
      </c>
      <c r="F98" s="42">
        <v>-15.3</v>
      </c>
      <c r="G98" s="42">
        <v>-14</v>
      </c>
      <c r="H98" s="42">
        <v>-26.5</v>
      </c>
      <c r="J98" s="42">
        <f t="shared" si="37"/>
        <v>-11.2</v>
      </c>
      <c r="K98" s="60">
        <f t="shared" si="38"/>
        <v>-0.73202614379084963</v>
      </c>
      <c r="M98" s="38"/>
      <c r="N98" s="181"/>
      <c r="O98" s="181"/>
      <c r="P98" s="181"/>
      <c r="Q98" s="181"/>
      <c r="R98" s="181"/>
      <c r="S98" s="181"/>
      <c r="T98" s="181"/>
    </row>
    <row r="99" spans="1:20" s="8" customFormat="1" ht="12.75" customHeight="1" x14ac:dyDescent="0.25">
      <c r="A99" s="12" t="s">
        <v>96</v>
      </c>
      <c r="B99" s="45">
        <f t="shared" ref="B99:E99" si="39">SUM(B94:B98)</f>
        <v>0.95000000000000018</v>
      </c>
      <c r="C99" s="45">
        <f t="shared" si="39"/>
        <v>-3.9400000000000004</v>
      </c>
      <c r="D99" s="45">
        <f t="shared" si="39"/>
        <v>-3.3</v>
      </c>
      <c r="E99" s="45">
        <f t="shared" si="39"/>
        <v>-3.8</v>
      </c>
      <c r="F99" s="45">
        <f t="shared" ref="F99:G99" si="40">ROUND(SUM(F94:F98),1)</f>
        <v>-14.9</v>
      </c>
      <c r="G99" s="45">
        <f t="shared" si="40"/>
        <v>-9.4</v>
      </c>
      <c r="H99" s="45">
        <f>ROUND(SUM(H94:H98),1)</f>
        <v>-18.3</v>
      </c>
      <c r="I99" s="12"/>
      <c r="J99" s="45">
        <f t="shared" si="37"/>
        <v>-3.4000000000000004</v>
      </c>
      <c r="K99" s="58">
        <f t="shared" si="38"/>
        <v>-0.22818791946308728</v>
      </c>
      <c r="M99" s="38"/>
      <c r="N99" s="181"/>
      <c r="O99" s="181"/>
      <c r="P99" s="181"/>
      <c r="Q99" s="181"/>
      <c r="R99" s="181"/>
      <c r="S99" s="181"/>
      <c r="T99" s="181"/>
    </row>
    <row r="100" spans="1:20" s="8" customFormat="1" ht="12.75" customHeight="1" x14ac:dyDescent="0.25">
      <c r="A100" s="12" t="s">
        <v>97</v>
      </c>
      <c r="B100" s="38"/>
      <c r="C100" s="38"/>
      <c r="D100" s="38"/>
      <c r="E100" s="38"/>
      <c r="F100" s="38"/>
      <c r="G100" s="38"/>
      <c r="J100" s="38"/>
      <c r="K100" s="20"/>
      <c r="M100" s="38"/>
      <c r="N100" s="181"/>
      <c r="O100" s="181"/>
      <c r="P100" s="181"/>
      <c r="Q100" s="181"/>
      <c r="R100" s="181"/>
      <c r="S100" s="181"/>
      <c r="T100" s="181"/>
    </row>
    <row r="101" spans="1:20" s="8" customFormat="1" ht="12.75" customHeight="1" x14ac:dyDescent="0.25">
      <c r="A101" s="15" t="s">
        <v>98</v>
      </c>
      <c r="B101" s="38">
        <v>0.6</v>
      </c>
      <c r="C101" s="38">
        <v>-0.39</v>
      </c>
      <c r="D101" s="38">
        <v>0</v>
      </c>
      <c r="E101" s="38">
        <v>0</v>
      </c>
      <c r="F101" s="38">
        <v>-0.1</v>
      </c>
      <c r="G101" s="38">
        <v>0.1</v>
      </c>
      <c r="H101" s="38">
        <v>-0.1</v>
      </c>
      <c r="J101" s="38">
        <f t="shared" ref="J101:J109" si="41">H101-F101</f>
        <v>0</v>
      </c>
      <c r="K101" s="20">
        <f t="shared" ref="K101:K109" si="42">+IF(F101&lt;&gt;0,IF((H101/F101)&lt;0,"n/m ",IF(ABS((J101)/F101)&gt;1,"large ",(J101)/F101*SIGN(F101))),"n/m ")</f>
        <v>0</v>
      </c>
      <c r="M101" s="38"/>
      <c r="N101" s="181"/>
      <c r="O101" s="181"/>
      <c r="P101" s="181"/>
      <c r="Q101" s="181"/>
      <c r="R101" s="181"/>
      <c r="S101" s="181"/>
      <c r="T101" s="181"/>
    </row>
    <row r="102" spans="1:20" s="8" customFormat="1" ht="12.75" customHeight="1" x14ac:dyDescent="0.25">
      <c r="A102" s="15" t="s">
        <v>99</v>
      </c>
      <c r="B102" s="38">
        <v>-23.24</v>
      </c>
      <c r="C102" s="38">
        <v>-27.05</v>
      </c>
      <c r="D102" s="38">
        <v>-24.5</v>
      </c>
      <c r="E102" s="38">
        <v>-27</v>
      </c>
      <c r="F102" s="38">
        <v>-42.8</v>
      </c>
      <c r="G102" s="38">
        <v>-41.3</v>
      </c>
      <c r="H102" s="38">
        <v>-35.299999999999997</v>
      </c>
      <c r="J102" s="38">
        <f t="shared" si="41"/>
        <v>7.5</v>
      </c>
      <c r="K102" s="20">
        <f t="shared" si="42"/>
        <v>0.1752336448598131</v>
      </c>
      <c r="M102" s="38"/>
      <c r="N102" s="181"/>
      <c r="O102" s="181"/>
      <c r="P102" s="181"/>
      <c r="Q102" s="181"/>
      <c r="R102" s="181"/>
      <c r="S102" s="181"/>
      <c r="T102" s="181"/>
    </row>
    <row r="103" spans="1:20" s="8" customFormat="1" ht="12.75" customHeight="1" x14ac:dyDescent="0.25">
      <c r="A103" s="12" t="s">
        <v>100</v>
      </c>
      <c r="B103" s="62">
        <f t="shared" ref="B103:E103" si="43">SUM(B101:B102)</f>
        <v>-22.639999999999997</v>
      </c>
      <c r="C103" s="62">
        <f>SUM(C101:C102)</f>
        <v>-27.44</v>
      </c>
      <c r="D103" s="62">
        <f t="shared" si="43"/>
        <v>-24.5</v>
      </c>
      <c r="E103" s="62">
        <f t="shared" si="43"/>
        <v>-27</v>
      </c>
      <c r="F103" s="62">
        <f t="shared" ref="F103:G103" si="44">ROUND(SUM(F101:F102),1)</f>
        <v>-42.9</v>
      </c>
      <c r="G103" s="62">
        <f t="shared" si="44"/>
        <v>-41.2</v>
      </c>
      <c r="H103" s="62">
        <f>ROUND(SUM(H101:H102),1)</f>
        <v>-35.4</v>
      </c>
      <c r="I103" s="12"/>
      <c r="J103" s="62">
        <f t="shared" si="41"/>
        <v>7.5</v>
      </c>
      <c r="K103" s="63">
        <f t="shared" si="42"/>
        <v>0.17482517482517482</v>
      </c>
      <c r="M103" s="38"/>
      <c r="N103" s="181"/>
      <c r="O103" s="181"/>
      <c r="P103" s="181"/>
      <c r="Q103" s="181"/>
      <c r="R103" s="181"/>
      <c r="S103" s="181"/>
      <c r="T103" s="181"/>
    </row>
    <row r="104" spans="1:20" s="8" customFormat="1" ht="12.75" customHeight="1" thickBot="1" x14ac:dyDescent="0.3">
      <c r="A104" s="12" t="s">
        <v>101</v>
      </c>
      <c r="B104" s="64">
        <f t="shared" ref="B104:G104" si="45">SUM(B69,B85,B92,B99,B103)</f>
        <v>56.465558620000081</v>
      </c>
      <c r="C104" s="64">
        <f t="shared" si="45"/>
        <v>67.504861390000059</v>
      </c>
      <c r="D104" s="64">
        <f t="shared" si="45"/>
        <v>60.600000000000094</v>
      </c>
      <c r="E104" s="64">
        <f t="shared" si="45"/>
        <v>75.499999999999829</v>
      </c>
      <c r="F104" s="64">
        <f t="shared" si="45"/>
        <v>113.89999999999995</v>
      </c>
      <c r="G104" s="64">
        <f t="shared" si="45"/>
        <v>110.09999999999992</v>
      </c>
      <c r="H104" s="64">
        <f>SUM(H69,H85,H92,H99,H103)</f>
        <v>94.399999999999892</v>
      </c>
      <c r="I104" s="12"/>
      <c r="J104" s="64">
        <f t="shared" si="41"/>
        <v>-19.500000000000057</v>
      </c>
      <c r="K104" s="65">
        <f t="shared" si="42"/>
        <v>-0.17120280948200234</v>
      </c>
      <c r="M104" s="38"/>
      <c r="N104" s="181"/>
      <c r="O104" s="181"/>
      <c r="P104" s="181"/>
      <c r="Q104" s="181"/>
      <c r="R104" s="181"/>
      <c r="S104" s="181"/>
      <c r="T104" s="181"/>
    </row>
    <row r="105" spans="1:20" s="8" customFormat="1" ht="12.75" customHeight="1" thickTop="1" x14ac:dyDescent="0.25">
      <c r="A105" s="15" t="s">
        <v>102</v>
      </c>
      <c r="B105" s="38">
        <v>3.64</v>
      </c>
      <c r="C105" s="38">
        <v>0</v>
      </c>
      <c r="D105" s="38">
        <v>0</v>
      </c>
      <c r="E105" s="38">
        <v>0</v>
      </c>
      <c r="F105" s="38">
        <v>0</v>
      </c>
      <c r="G105" s="38">
        <v>0</v>
      </c>
      <c r="H105" s="38">
        <v>0</v>
      </c>
      <c r="J105" s="38">
        <f t="shared" si="41"/>
        <v>0</v>
      </c>
      <c r="K105" s="20" t="str">
        <f t="shared" si="42"/>
        <v xml:space="preserve">n/m </v>
      </c>
      <c r="M105" s="38"/>
      <c r="N105" s="181"/>
      <c r="O105" s="181"/>
      <c r="P105" s="181"/>
      <c r="Q105" s="181"/>
      <c r="R105" s="181"/>
      <c r="S105" s="181"/>
      <c r="T105" s="181"/>
    </row>
    <row r="106" spans="1:20" s="8" customFormat="1" ht="12.75" customHeight="1" x14ac:dyDescent="0.25">
      <c r="A106" s="15" t="s">
        <v>103</v>
      </c>
      <c r="B106" s="38">
        <v>0.17</v>
      </c>
      <c r="C106" s="38">
        <v>-0.1</v>
      </c>
      <c r="D106" s="38">
        <v>0</v>
      </c>
      <c r="E106" s="38">
        <v>0</v>
      </c>
      <c r="F106" s="38">
        <v>0</v>
      </c>
      <c r="G106" s="38">
        <v>0</v>
      </c>
      <c r="H106" s="38">
        <v>0</v>
      </c>
      <c r="J106" s="38">
        <f t="shared" si="41"/>
        <v>0</v>
      </c>
      <c r="K106" s="27" t="str">
        <f t="shared" si="42"/>
        <v xml:space="preserve">n/m </v>
      </c>
      <c r="M106" s="38"/>
      <c r="N106" s="181"/>
      <c r="O106" s="181"/>
      <c r="P106" s="181"/>
      <c r="Q106" s="181"/>
      <c r="R106" s="181"/>
      <c r="S106" s="181"/>
      <c r="T106" s="181"/>
    </row>
    <row r="107" spans="1:20" s="8" customFormat="1" ht="12.75" customHeight="1" x14ac:dyDescent="0.25">
      <c r="A107" s="15" t="s">
        <v>104</v>
      </c>
      <c r="B107" s="38">
        <v>1.04</v>
      </c>
      <c r="C107" s="38">
        <v>0</v>
      </c>
      <c r="D107" s="38">
        <v>0</v>
      </c>
      <c r="E107" s="38">
        <v>0</v>
      </c>
      <c r="F107" s="38">
        <v>0</v>
      </c>
      <c r="G107" s="38">
        <v>0</v>
      </c>
      <c r="H107" s="38">
        <v>0</v>
      </c>
      <c r="J107" s="38">
        <f t="shared" si="41"/>
        <v>0</v>
      </c>
      <c r="K107" s="27" t="str">
        <f t="shared" si="42"/>
        <v xml:space="preserve">n/m </v>
      </c>
      <c r="M107" s="38"/>
      <c r="N107" s="181"/>
      <c r="O107" s="181"/>
      <c r="P107" s="181"/>
      <c r="Q107" s="181"/>
      <c r="R107" s="181"/>
      <c r="S107" s="181"/>
      <c r="T107" s="181"/>
    </row>
    <row r="108" spans="1:20" s="8" customFormat="1" ht="12.75" customHeight="1" x14ac:dyDescent="0.25">
      <c r="A108" s="15" t="s">
        <v>105</v>
      </c>
      <c r="B108" s="38">
        <v>0</v>
      </c>
      <c r="C108" s="38">
        <v>0</v>
      </c>
      <c r="D108" s="38">
        <v>5.3</v>
      </c>
      <c r="E108" s="38">
        <v>6.4</v>
      </c>
      <c r="F108" s="38">
        <v>5.7</v>
      </c>
      <c r="G108" s="38">
        <v>4.8</v>
      </c>
      <c r="H108" s="38">
        <v>4.2</v>
      </c>
      <c r="J108" s="38">
        <f t="shared" si="41"/>
        <v>-1.5</v>
      </c>
      <c r="K108" s="27">
        <f t="shared" si="42"/>
        <v>-0.26315789473684209</v>
      </c>
      <c r="M108" s="38"/>
      <c r="N108" s="181"/>
      <c r="O108" s="181"/>
      <c r="P108" s="181"/>
      <c r="Q108" s="181"/>
      <c r="R108" s="181"/>
      <c r="S108" s="181"/>
      <c r="T108" s="181"/>
    </row>
    <row r="109" spans="1:20" s="8" customFormat="1" ht="12.75" customHeight="1" thickBot="1" x14ac:dyDescent="0.3">
      <c r="A109" s="12" t="s">
        <v>106</v>
      </c>
      <c r="B109" s="50">
        <f>SUM(B104:B108)</f>
        <v>61.315558620000083</v>
      </c>
      <c r="C109" s="50">
        <v>67.460210050000072</v>
      </c>
      <c r="D109" s="50">
        <f>SUM(D104:D108)</f>
        <v>65.900000000000091</v>
      </c>
      <c r="E109" s="50">
        <f>SUM(E104:E108)</f>
        <v>81.899999999999835</v>
      </c>
      <c r="F109" s="50">
        <f t="shared" ref="F109:G109" si="46">SUM(F104:F108)</f>
        <v>119.59999999999995</v>
      </c>
      <c r="G109" s="50">
        <f t="shared" si="46"/>
        <v>114.89999999999992</v>
      </c>
      <c r="H109" s="50">
        <f>SUM(H104:H108)</f>
        <v>98.599999999999895</v>
      </c>
      <c r="I109" s="12"/>
      <c r="J109" s="50">
        <f t="shared" si="41"/>
        <v>-21.000000000000057</v>
      </c>
      <c r="K109" s="66">
        <f t="shared" si="42"/>
        <v>-0.175585284280937</v>
      </c>
      <c r="M109" s="38"/>
      <c r="N109" s="181"/>
      <c r="O109" s="181"/>
      <c r="P109" s="181"/>
      <c r="Q109" s="181"/>
      <c r="R109" s="181"/>
      <c r="S109" s="181"/>
      <c r="T109" s="181"/>
    </row>
    <row r="110" spans="1:20" s="3" customFormat="1" ht="12.75" customHeight="1" x14ac:dyDescent="0.25">
      <c r="M110" s="38"/>
      <c r="N110" s="181"/>
      <c r="O110" s="181"/>
      <c r="P110" s="181"/>
      <c r="Q110" s="181"/>
      <c r="R110" s="181"/>
      <c r="S110" s="181"/>
      <c r="T110" s="181"/>
    </row>
    <row r="111" spans="1:20" customFormat="1" ht="12.75" customHeight="1" x14ac:dyDescent="0.25">
      <c r="N111" s="181"/>
      <c r="O111" s="181"/>
      <c r="P111" s="181"/>
      <c r="Q111" s="181"/>
      <c r="R111" s="181"/>
      <c r="S111" s="181"/>
      <c r="T111" s="181"/>
    </row>
    <row r="112" spans="1:20" customFormat="1" ht="12.75" customHeight="1" x14ac:dyDescent="0.25">
      <c r="N112" s="181"/>
      <c r="O112" s="181"/>
      <c r="P112" s="181"/>
      <c r="Q112" s="181"/>
      <c r="R112" s="181"/>
      <c r="S112" s="181"/>
      <c r="T112" s="181"/>
    </row>
    <row r="113" spans="4:20" customFormat="1" ht="12.75" customHeight="1" x14ac:dyDescent="0.25">
      <c r="N113" s="181"/>
      <c r="O113" s="181"/>
      <c r="P113" s="181"/>
      <c r="Q113" s="181"/>
      <c r="R113" s="181"/>
      <c r="S113" s="181"/>
      <c r="T113" s="181"/>
    </row>
    <row r="114" spans="4:20" customFormat="1" ht="12.75" customHeight="1" x14ac:dyDescent="0.25">
      <c r="N114" s="181"/>
      <c r="O114" s="181"/>
      <c r="P114" s="181"/>
      <c r="Q114" s="181"/>
      <c r="R114" s="181"/>
      <c r="S114" s="181"/>
      <c r="T114" s="181"/>
    </row>
    <row r="115" spans="4:20" customFormat="1" ht="12.75" customHeight="1" x14ac:dyDescent="0.25">
      <c r="N115" s="181"/>
      <c r="O115" s="181"/>
      <c r="P115" s="181"/>
      <c r="Q115" s="181"/>
      <c r="R115" s="181"/>
      <c r="S115" s="181"/>
      <c r="T115" s="181"/>
    </row>
    <row r="116" spans="4:20" customFormat="1" ht="12.75" customHeight="1" x14ac:dyDescent="0.25">
      <c r="N116" s="181"/>
      <c r="O116" s="181"/>
      <c r="P116" s="181"/>
      <c r="Q116" s="181"/>
      <c r="R116" s="181"/>
      <c r="S116" s="181"/>
      <c r="T116" s="181"/>
    </row>
    <row r="117" spans="4:20" customFormat="1" ht="12.75" customHeight="1" x14ac:dyDescent="0.25">
      <c r="N117" s="181"/>
      <c r="O117" s="181"/>
      <c r="P117" s="181"/>
      <c r="Q117" s="181"/>
      <c r="R117" s="181"/>
      <c r="S117" s="181"/>
      <c r="T117" s="181"/>
    </row>
    <row r="118" spans="4:20" customFormat="1" ht="12.75" customHeight="1" x14ac:dyDescent="0.25">
      <c r="N118" s="181"/>
      <c r="O118" s="181"/>
      <c r="P118" s="181"/>
      <c r="Q118" s="181"/>
      <c r="R118" s="181"/>
      <c r="S118" s="181"/>
      <c r="T118" s="181"/>
    </row>
    <row r="119" spans="4:20" customFormat="1" ht="12.75" customHeight="1" x14ac:dyDescent="0.25">
      <c r="N119" s="181"/>
      <c r="O119" s="181"/>
      <c r="P119" s="181"/>
      <c r="Q119" s="181"/>
      <c r="R119" s="181"/>
      <c r="S119" s="181"/>
      <c r="T119" s="181"/>
    </row>
    <row r="120" spans="4:20" customFormat="1" ht="12.75" customHeight="1" x14ac:dyDescent="0.25"/>
    <row r="121" spans="4:20" customFormat="1" ht="12.75" customHeight="1" x14ac:dyDescent="0.25"/>
    <row r="122" spans="4:20" customFormat="1" ht="12.75" customHeight="1" x14ac:dyDescent="0.25"/>
    <row r="123" spans="4:20" ht="12.75" customHeight="1" x14ac:dyDescent="0.2">
      <c r="D123" s="67"/>
      <c r="E123" s="67"/>
      <c r="F123" s="67"/>
      <c r="G123" s="67"/>
      <c r="M123" s="37"/>
      <c r="N123" s="37"/>
      <c r="O123" s="37"/>
      <c r="P123" s="37"/>
      <c r="Q123" s="37"/>
      <c r="R123" s="37"/>
      <c r="S123" s="37"/>
    </row>
    <row r="124" spans="4:20" ht="12.75" customHeight="1" x14ac:dyDescent="0.2">
      <c r="D124" s="67"/>
      <c r="E124" s="67"/>
      <c r="F124" s="67"/>
      <c r="G124" s="67"/>
      <c r="M124" s="37"/>
      <c r="N124" s="37"/>
      <c r="O124" s="37"/>
      <c r="P124" s="37"/>
      <c r="Q124" s="37"/>
      <c r="R124" s="37"/>
      <c r="S124" s="37"/>
    </row>
    <row r="125" spans="4:20" ht="12.75" customHeight="1" x14ac:dyDescent="0.2">
      <c r="M125" s="37"/>
      <c r="N125" s="37"/>
      <c r="O125" s="37"/>
      <c r="P125" s="37"/>
      <c r="Q125" s="37"/>
      <c r="R125" s="37"/>
      <c r="S125" s="37"/>
    </row>
  </sheetData>
  <mergeCells count="8">
    <mergeCell ref="A72:K72"/>
    <mergeCell ref="J73:K73"/>
    <mergeCell ref="A4:K4"/>
    <mergeCell ref="J5:K5"/>
    <mergeCell ref="A40:K40"/>
    <mergeCell ref="J41:K41"/>
    <mergeCell ref="A54:K54"/>
    <mergeCell ref="J55:K55"/>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rowBreaks count="3" manualBreakCount="3">
    <brk id="38" max="11" man="1"/>
    <brk id="70" max="11" man="1"/>
    <brk id="110" max="10" man="1"/>
  </rowBreaks>
  <ignoredErrors>
    <ignoredError sqref="B15:F15 B44:H4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A00C4-E778-45EA-B4FE-6DEB27A0F9D0}">
  <sheetPr>
    <pageSetUpPr fitToPage="1"/>
  </sheetPr>
  <dimension ref="A1:M38"/>
  <sheetViews>
    <sheetView showGridLines="0" zoomScaleNormal="100" zoomScaleSheetLayoutView="100" workbookViewId="0"/>
  </sheetViews>
  <sheetFormatPr defaultColWidth="9.140625" defaultRowHeight="12.75" customHeight="1" x14ac:dyDescent="0.25"/>
  <cols>
    <col min="1" max="1" width="78.7109375" style="10" customWidth="1"/>
    <col min="2" max="8" width="9.5703125" style="10" customWidth="1"/>
    <col min="9" max="9" width="2.5703125" style="10" customWidth="1"/>
    <col min="10" max="11" width="9.5703125" style="10" customWidth="1"/>
    <col min="12" max="12" width="6.140625" style="10" customWidth="1"/>
    <col min="13" max="13" width="9.140625" style="71"/>
    <col min="14" max="16384" width="9.140625" style="10"/>
  </cols>
  <sheetData>
    <row r="1" spans="1:13" s="3" customFormat="1" ht="27.95" customHeight="1" x14ac:dyDescent="0.25">
      <c r="A1" s="1" t="s">
        <v>0</v>
      </c>
      <c r="B1" s="2"/>
      <c r="C1" s="2"/>
      <c r="D1" s="2"/>
      <c r="E1" s="2"/>
      <c r="F1" s="2"/>
      <c r="G1" s="2"/>
      <c r="H1" s="2"/>
      <c r="I1" s="2"/>
      <c r="J1" s="2"/>
      <c r="K1" s="2"/>
      <c r="L1" s="2"/>
      <c r="M1" s="68"/>
    </row>
    <row r="3" spans="1:13" ht="18" customHeight="1" x14ac:dyDescent="0.25">
      <c r="A3" s="69" t="s">
        <v>107</v>
      </c>
      <c r="B3" s="70"/>
      <c r="C3" s="70"/>
      <c r="D3" s="70"/>
      <c r="E3" s="70"/>
      <c r="F3" s="70"/>
      <c r="G3" s="70"/>
      <c r="H3" s="70"/>
      <c r="I3" s="70"/>
      <c r="J3" s="70"/>
      <c r="K3" s="70"/>
      <c r="L3" s="70"/>
    </row>
    <row r="4" spans="1:13" s="8" customFormat="1" ht="12.75" customHeight="1" x14ac:dyDescent="0.25">
      <c r="A4" s="187" t="s">
        <v>108</v>
      </c>
      <c r="B4" s="187"/>
      <c r="C4" s="187"/>
      <c r="D4" s="187"/>
      <c r="E4" s="187"/>
      <c r="F4" s="187"/>
      <c r="G4" s="187"/>
      <c r="H4" s="187"/>
      <c r="I4" s="187"/>
      <c r="J4" s="187"/>
      <c r="K4" s="187"/>
      <c r="L4" s="72"/>
      <c r="M4" s="13"/>
    </row>
    <row r="5" spans="1:13" s="8" customFormat="1" ht="12.75" customHeight="1" thickBot="1" x14ac:dyDescent="0.3">
      <c r="B5" s="11" t="s">
        <v>6</v>
      </c>
      <c r="C5" s="11" t="s">
        <v>7</v>
      </c>
      <c r="D5" s="11" t="s">
        <v>8</v>
      </c>
      <c r="E5" s="11" t="s">
        <v>9</v>
      </c>
      <c r="F5" s="11" t="s">
        <v>10</v>
      </c>
      <c r="G5" s="11" t="s">
        <v>11</v>
      </c>
      <c r="H5" s="11" t="s">
        <v>12</v>
      </c>
      <c r="J5" s="186" t="s">
        <v>13</v>
      </c>
      <c r="K5" s="186"/>
      <c r="M5" s="13"/>
    </row>
    <row r="6" spans="1:13" s="8" customFormat="1" ht="12.75" customHeight="1" x14ac:dyDescent="0.25">
      <c r="A6" s="8" t="s">
        <v>109</v>
      </c>
      <c r="B6" s="38">
        <f t="shared" ref="B6:D6" si="0">B25</f>
        <v>27.889999999999986</v>
      </c>
      <c r="C6" s="38">
        <f t="shared" si="0"/>
        <v>24.459999999999994</v>
      </c>
      <c r="D6" s="38">
        <f t="shared" si="0"/>
        <v>17.100000000000037</v>
      </c>
      <c r="E6" s="38">
        <f>E25</f>
        <v>-3.8199999999999932</v>
      </c>
      <c r="F6" s="38">
        <f>ROUND(F25,1)</f>
        <v>-31</v>
      </c>
      <c r="G6" s="38">
        <f>ROUND(G25,1)</f>
        <v>-29.9</v>
      </c>
      <c r="H6" s="38">
        <f>ROUND(H25,1)</f>
        <v>-24.8</v>
      </c>
      <c r="I6" s="38"/>
      <c r="J6" s="38">
        <f>H6-F6</f>
        <v>6.1999999999999993</v>
      </c>
      <c r="K6" s="73">
        <f>+IF(F6&lt;&gt;0,IF((H6/F6)&lt;0,"n/m ",IF(ABS((J6)/F6)&gt;1,"large ",(J6)/F6*SIGN(F6))),"n/m ")</f>
        <v>0.19999999999999998</v>
      </c>
      <c r="M6" s="13"/>
    </row>
    <row r="7" spans="1:13" s="8" customFormat="1" ht="12.75" customHeight="1" x14ac:dyDescent="0.25">
      <c r="A7" s="8" t="s">
        <v>110</v>
      </c>
      <c r="B7" s="38">
        <f t="shared" ref="B7:E7" si="1">B22</f>
        <v>106.48999999999998</v>
      </c>
      <c r="C7" s="38">
        <f t="shared" si="1"/>
        <v>99.83</v>
      </c>
      <c r="D7" s="38">
        <f t="shared" si="1"/>
        <v>91.500000000000043</v>
      </c>
      <c r="E7" s="38">
        <f t="shared" si="1"/>
        <v>79.180000000000007</v>
      </c>
      <c r="F7" s="38">
        <f>F22</f>
        <v>114.17271676999998</v>
      </c>
      <c r="G7" s="38">
        <f>G22</f>
        <v>108.20000000000007</v>
      </c>
      <c r="H7" s="38">
        <f>H22</f>
        <v>103.70000000000002</v>
      </c>
      <c r="I7" s="38"/>
      <c r="J7" s="38">
        <f t="shared" ref="J7:J8" si="2">H7-F7</f>
        <v>-10.472716769999963</v>
      </c>
      <c r="K7" s="73">
        <f>+IF(F7&lt;&gt;0,IF((H7/F7)&lt;0,"n/m ",IF(ABS((J7)/F7)&gt;1,"large ",(J7)/F7*SIGN(F7))),"n/m ")</f>
        <v>-9.1726964780011022E-2</v>
      </c>
      <c r="M7" s="13"/>
    </row>
    <row r="8" spans="1:13" s="8" customFormat="1" ht="12.75" customHeight="1" x14ac:dyDescent="0.25">
      <c r="A8" s="8" t="s">
        <v>44</v>
      </c>
      <c r="B8" s="74">
        <f t="shared" ref="B8:E8" si="3">ABS(B24/(SUM(B22)-B19))</f>
        <v>0.73809747394121517</v>
      </c>
      <c r="C8" s="74">
        <f t="shared" si="3"/>
        <v>0.7549834719022338</v>
      </c>
      <c r="D8" s="74">
        <f t="shared" si="3"/>
        <v>0.81311475409836032</v>
      </c>
      <c r="E8" s="74">
        <f t="shared" si="3"/>
        <v>1.0482445061884313</v>
      </c>
      <c r="F8" s="74">
        <f>ABS(F24/(SUM(F22)-F19))</f>
        <v>1.2717574225066766</v>
      </c>
      <c r="G8" s="74">
        <f>ABS(G24/(SUM(G22)-G19))</f>
        <v>1.2763401109057293</v>
      </c>
      <c r="H8" s="74">
        <f>ABS(H24/(SUM(H22)-H19))</f>
        <v>1.2391513982642235</v>
      </c>
      <c r="J8" s="20">
        <f t="shared" si="2"/>
        <v>-3.2606024242453069E-2</v>
      </c>
      <c r="K8" s="73">
        <f>+IF(F8&lt;&gt;0,IF((H8/F8)&lt;0,"n/m ",IF(ABS((J8)/F8)&gt;1,"large ",(J8)/F8*SIGN(F8))),"n/m ")</f>
        <v>-2.5638556272929394E-2</v>
      </c>
      <c r="M8" s="13"/>
    </row>
    <row r="9" spans="1:13" s="8" customFormat="1" ht="12.75" customHeight="1" x14ac:dyDescent="0.25">
      <c r="M9" s="13"/>
    </row>
    <row r="10" spans="1:13" ht="18" customHeight="1" x14ac:dyDescent="0.25">
      <c r="A10" s="69" t="s">
        <v>111</v>
      </c>
      <c r="B10" s="70"/>
      <c r="C10" s="70"/>
      <c r="D10" s="70"/>
      <c r="E10" s="70"/>
      <c r="F10" s="70"/>
      <c r="G10" s="70"/>
      <c r="H10" s="70"/>
      <c r="I10" s="70"/>
      <c r="J10" s="70"/>
      <c r="K10" s="70"/>
      <c r="L10" s="70"/>
    </row>
    <row r="11" spans="1:13" s="8" customFormat="1" ht="25.5" customHeight="1" x14ac:dyDescent="0.25">
      <c r="A11" s="187" t="s">
        <v>112</v>
      </c>
      <c r="B11" s="187"/>
      <c r="C11" s="187"/>
      <c r="D11" s="187"/>
      <c r="E11" s="187"/>
      <c r="F11" s="187"/>
      <c r="G11" s="187"/>
      <c r="H11" s="187"/>
      <c r="I11" s="187"/>
      <c r="J11" s="187"/>
      <c r="K11" s="187"/>
      <c r="L11" s="72"/>
      <c r="M11" s="13"/>
    </row>
    <row r="12" spans="1:13" s="8" customFormat="1" ht="12.75" customHeight="1" x14ac:dyDescent="0.25">
      <c r="B12" s="13" t="s">
        <v>6</v>
      </c>
      <c r="C12" s="13" t="s">
        <v>7</v>
      </c>
      <c r="D12" s="13" t="s">
        <v>8</v>
      </c>
      <c r="E12" s="13" t="s">
        <v>9</v>
      </c>
      <c r="F12" s="13" t="s">
        <v>10</v>
      </c>
      <c r="G12" s="13" t="s">
        <v>11</v>
      </c>
      <c r="H12" s="13" t="s">
        <v>12</v>
      </c>
      <c r="J12" s="185" t="s">
        <v>13</v>
      </c>
      <c r="K12" s="185"/>
      <c r="M12" s="13"/>
    </row>
    <row r="13" spans="1:13" s="8" customFormat="1" ht="12.75" customHeight="1" thickBot="1" x14ac:dyDescent="0.3">
      <c r="B13" s="11" t="s">
        <v>48</v>
      </c>
      <c r="C13" s="11" t="s">
        <v>48</v>
      </c>
      <c r="D13" s="11" t="s">
        <v>48</v>
      </c>
      <c r="E13" s="11" t="s">
        <v>48</v>
      </c>
      <c r="F13" s="11" t="s">
        <v>48</v>
      </c>
      <c r="G13" s="11" t="s">
        <v>48</v>
      </c>
      <c r="H13" s="11" t="s">
        <v>48</v>
      </c>
      <c r="J13" s="11" t="s">
        <v>48</v>
      </c>
      <c r="K13" s="11" t="s">
        <v>49</v>
      </c>
      <c r="M13" s="13"/>
    </row>
    <row r="14" spans="1:13" s="8" customFormat="1" ht="12.75" customHeight="1" x14ac:dyDescent="0.25">
      <c r="A14" s="12" t="s">
        <v>52</v>
      </c>
      <c r="M14" s="13"/>
    </row>
    <row r="15" spans="1:13" s="8" customFormat="1" ht="12.75" customHeight="1" x14ac:dyDescent="0.25">
      <c r="A15" s="15" t="s">
        <v>60</v>
      </c>
      <c r="B15" s="38">
        <v>284.64</v>
      </c>
      <c r="C15" s="38">
        <v>274.85000000000002</v>
      </c>
      <c r="D15" s="38">
        <v>262.40000000000003</v>
      </c>
      <c r="E15" s="38">
        <v>239.84</v>
      </c>
      <c r="F15" s="38">
        <v>308.90055941999998</v>
      </c>
      <c r="G15" s="38">
        <v>277.10000000000002</v>
      </c>
      <c r="H15" s="38">
        <v>258.8</v>
      </c>
      <c r="I15" s="38"/>
      <c r="J15" s="38">
        <f t="shared" ref="J15:J22" si="4">H15-F15</f>
        <v>-50.100559419999968</v>
      </c>
      <c r="K15" s="73">
        <f t="shared" ref="K15:K22" si="5">+IF(F15&lt;&gt;0,IF((H15/F15)&lt;0,"n/m ",IF(ABS((J15)/F15)&gt;1,"large ",(J15)/F15*SIGN(F15))),"n/m ")</f>
        <v>-0.16218992776856775</v>
      </c>
      <c r="M15" s="75"/>
    </row>
    <row r="16" spans="1:13" s="8" customFormat="1" ht="12.75" customHeight="1" x14ac:dyDescent="0.25">
      <c r="A16" s="15" t="s">
        <v>61</v>
      </c>
      <c r="B16" s="38">
        <v>16.46</v>
      </c>
      <c r="C16" s="38">
        <v>18.96</v>
      </c>
      <c r="D16" s="38">
        <v>16.600000000000001</v>
      </c>
      <c r="E16" s="38">
        <v>14.2</v>
      </c>
      <c r="F16" s="38">
        <v>19.700000000000003</v>
      </c>
      <c r="G16" s="38">
        <v>24.3</v>
      </c>
      <c r="H16" s="38">
        <v>19</v>
      </c>
      <c r="I16" s="38"/>
      <c r="J16" s="38">
        <f t="shared" si="4"/>
        <v>-0.70000000000000284</v>
      </c>
      <c r="K16" s="76">
        <f t="shared" si="5"/>
        <v>-3.5532994923858009E-2</v>
      </c>
      <c r="M16" s="75"/>
    </row>
    <row r="17" spans="1:13" s="8" customFormat="1" ht="12.75" customHeight="1" x14ac:dyDescent="0.25">
      <c r="A17" s="15" t="s">
        <v>62</v>
      </c>
      <c r="B17" s="38">
        <v>-191.48</v>
      </c>
      <c r="C17" s="38">
        <v>-190.98</v>
      </c>
      <c r="D17" s="38">
        <v>-182</v>
      </c>
      <c r="E17" s="38">
        <v>-174.7</v>
      </c>
      <c r="F17" s="38">
        <v>-214.6</v>
      </c>
      <c r="G17" s="38">
        <v>-192.89999999999998</v>
      </c>
      <c r="H17" s="38">
        <v>-175.1</v>
      </c>
      <c r="I17" s="38"/>
      <c r="J17" s="38">
        <f t="shared" si="4"/>
        <v>39.5</v>
      </c>
      <c r="K17" s="76">
        <f t="shared" si="5"/>
        <v>0.18406337371854614</v>
      </c>
      <c r="M17" s="75"/>
    </row>
    <row r="18" spans="1:13" s="8" customFormat="1" ht="12.75" customHeight="1" x14ac:dyDescent="0.25">
      <c r="A18" s="15" t="s">
        <v>63</v>
      </c>
      <c r="B18" s="38">
        <v>-6.78</v>
      </c>
      <c r="C18" s="38">
        <v>-5.43</v>
      </c>
      <c r="D18" s="38">
        <v>-5.4</v>
      </c>
      <c r="E18" s="38">
        <v>-2.8</v>
      </c>
      <c r="F18" s="38">
        <v>-2.07405778</v>
      </c>
      <c r="G18" s="38">
        <v>-1.6</v>
      </c>
      <c r="H18" s="38">
        <v>-2.8</v>
      </c>
      <c r="I18" s="38"/>
      <c r="J18" s="38">
        <f t="shared" si="4"/>
        <v>-0.72594221999999986</v>
      </c>
      <c r="K18" s="73">
        <f t="shared" si="5"/>
        <v>-0.3500106057797483</v>
      </c>
      <c r="M18" s="75"/>
    </row>
    <row r="19" spans="1:13" s="8" customFormat="1" ht="12.75" customHeight="1" x14ac:dyDescent="0.25">
      <c r="A19" s="15" t="s">
        <v>64</v>
      </c>
      <c r="B19" s="38">
        <v>0</v>
      </c>
      <c r="C19" s="38">
        <v>0</v>
      </c>
      <c r="D19" s="38">
        <v>0</v>
      </c>
      <c r="E19" s="38">
        <v>0</v>
      </c>
      <c r="F19" s="38">
        <v>0</v>
      </c>
      <c r="G19" s="38">
        <v>0</v>
      </c>
      <c r="H19" s="38">
        <v>0</v>
      </c>
      <c r="I19" s="38"/>
      <c r="J19" s="19">
        <f t="shared" si="4"/>
        <v>0</v>
      </c>
      <c r="K19" s="73" t="str">
        <f t="shared" si="5"/>
        <v xml:space="preserve">n/m </v>
      </c>
      <c r="M19" s="75"/>
    </row>
    <row r="20" spans="1:13" s="8" customFormat="1" ht="12.75" customHeight="1" x14ac:dyDescent="0.25">
      <c r="A20" s="15" t="s">
        <v>113</v>
      </c>
      <c r="B20" s="38">
        <v>3.76</v>
      </c>
      <c r="C20" s="38">
        <v>2.8</v>
      </c>
      <c r="D20" s="38">
        <v>0.60000000000000009</v>
      </c>
      <c r="E20" s="38">
        <v>3.34</v>
      </c>
      <c r="F20" s="38">
        <v>2.8999999999999995</v>
      </c>
      <c r="G20" s="38">
        <v>1.8999999999999997</v>
      </c>
      <c r="H20" s="38">
        <v>3.8</v>
      </c>
      <c r="I20" s="38"/>
      <c r="J20" s="38">
        <f t="shared" si="4"/>
        <v>0.90000000000000036</v>
      </c>
      <c r="K20" s="73">
        <f t="shared" si="5"/>
        <v>0.31034482758620707</v>
      </c>
      <c r="M20" s="75"/>
    </row>
    <row r="21" spans="1:13" s="8" customFormat="1" ht="12.75" customHeight="1" x14ac:dyDescent="0.25">
      <c r="A21" s="15" t="s">
        <v>70</v>
      </c>
      <c r="B21" s="42">
        <v>-0.11</v>
      </c>
      <c r="C21" s="42">
        <v>-0.37</v>
      </c>
      <c r="D21" s="42">
        <v>-0.7</v>
      </c>
      <c r="E21" s="42">
        <v>-0.7</v>
      </c>
      <c r="F21" s="42">
        <v>-0.65378486999999996</v>
      </c>
      <c r="G21" s="42">
        <v>-0.6</v>
      </c>
      <c r="H21" s="42">
        <v>0</v>
      </c>
      <c r="I21" s="38"/>
      <c r="J21" s="42">
        <f t="shared" si="4"/>
        <v>0.65378486999999996</v>
      </c>
      <c r="K21" s="77">
        <f t="shared" si="5"/>
        <v>1</v>
      </c>
      <c r="M21" s="75"/>
    </row>
    <row r="22" spans="1:13" s="8" customFormat="1" ht="12.75" customHeight="1" x14ac:dyDescent="0.25">
      <c r="A22" s="12" t="s">
        <v>71</v>
      </c>
      <c r="B22" s="45">
        <f t="shared" ref="B22:H22" si="6">SUM(B15:B21)</f>
        <v>106.48999999999998</v>
      </c>
      <c r="C22" s="45">
        <f t="shared" si="6"/>
        <v>99.83</v>
      </c>
      <c r="D22" s="45">
        <f t="shared" si="6"/>
        <v>91.500000000000043</v>
      </c>
      <c r="E22" s="45">
        <f>SUM(E15:E21)</f>
        <v>79.180000000000007</v>
      </c>
      <c r="F22" s="45">
        <f>SUM(F15:F21)</f>
        <v>114.17271676999998</v>
      </c>
      <c r="G22" s="45">
        <f t="shared" si="6"/>
        <v>108.20000000000007</v>
      </c>
      <c r="H22" s="45">
        <f t="shared" si="6"/>
        <v>103.70000000000002</v>
      </c>
      <c r="I22" s="38"/>
      <c r="J22" s="78">
        <f t="shared" si="4"/>
        <v>-10.472716769999963</v>
      </c>
      <c r="K22" s="79">
        <f t="shared" si="5"/>
        <v>-9.1726964780011022E-2</v>
      </c>
      <c r="M22" s="13"/>
    </row>
    <row r="23" spans="1:13" s="8" customFormat="1" ht="12.75" customHeight="1" x14ac:dyDescent="0.25">
      <c r="A23" s="12"/>
      <c r="B23" s="45"/>
      <c r="C23" s="45"/>
      <c r="D23" s="45"/>
      <c r="E23" s="45"/>
      <c r="F23" s="45"/>
      <c r="G23" s="45"/>
      <c r="H23" s="45"/>
      <c r="I23" s="38"/>
      <c r="J23" s="78"/>
      <c r="K23" s="79"/>
      <c r="M23" s="13"/>
    </row>
    <row r="24" spans="1:13" s="8" customFormat="1" ht="12.75" customHeight="1" x14ac:dyDescent="0.25">
      <c r="A24" s="15" t="s">
        <v>114</v>
      </c>
      <c r="B24" s="38">
        <v>-78.599999999999994</v>
      </c>
      <c r="C24" s="38">
        <v>-75.37</v>
      </c>
      <c r="D24" s="38">
        <v>-74.400000000000006</v>
      </c>
      <c r="E24" s="38">
        <v>-83</v>
      </c>
      <c r="F24" s="38">
        <v>-145.19999999999999</v>
      </c>
      <c r="G24" s="38">
        <v>-138.1</v>
      </c>
      <c r="H24" s="38">
        <v>-128.5</v>
      </c>
      <c r="I24" s="38"/>
      <c r="J24" s="38">
        <f t="shared" ref="J24:J25" si="7">H24-F24</f>
        <v>16.699999999999989</v>
      </c>
      <c r="K24" s="73">
        <f>+IF(F24&lt;&gt;0,IF((H24/F24)&lt;0,"n/m ",IF(ABS((J24)/F24)&gt;1,"large ",(J24)/F24*SIGN(F24))),"n/m ")</f>
        <v>0.11501377410468312</v>
      </c>
      <c r="M24" s="13"/>
    </row>
    <row r="25" spans="1:13" s="8" customFormat="1" ht="12.75" customHeight="1" thickBot="1" x14ac:dyDescent="0.3">
      <c r="A25" s="12" t="s">
        <v>115</v>
      </c>
      <c r="B25" s="64">
        <f t="shared" ref="B25:H25" si="8">SUM(B22:B24)</f>
        <v>27.889999999999986</v>
      </c>
      <c r="C25" s="64">
        <f>SUM(C22:C24)</f>
        <v>24.459999999999994</v>
      </c>
      <c r="D25" s="64">
        <f t="shared" si="8"/>
        <v>17.100000000000037</v>
      </c>
      <c r="E25" s="64">
        <f t="shared" si="8"/>
        <v>-3.8199999999999932</v>
      </c>
      <c r="F25" s="64">
        <f t="shared" si="8"/>
        <v>-31.027283230000009</v>
      </c>
      <c r="G25" s="64">
        <f t="shared" si="8"/>
        <v>-29.89999999999992</v>
      </c>
      <c r="H25" s="64">
        <f t="shared" si="8"/>
        <v>-24.799999999999983</v>
      </c>
      <c r="I25" s="38"/>
      <c r="J25" s="80">
        <f t="shared" si="7"/>
        <v>6.227283230000026</v>
      </c>
      <c r="K25" s="81">
        <f>+IF(F25&lt;&gt;0,IF((H25/F25)&lt;0,"n/m ",IF(ABS((J25)/F25)&gt;1,"large ",(J25)/F25*SIGN(F25))),"n/m ")</f>
        <v>0.20070346423301799</v>
      </c>
      <c r="M25" s="13"/>
    </row>
    <row r="26" spans="1:13" s="3" customFormat="1" ht="12.75" customHeight="1" thickTop="1" x14ac:dyDescent="0.25">
      <c r="M26" s="68"/>
    </row>
    <row r="27" spans="1:13" customFormat="1" ht="12.75" customHeight="1" x14ac:dyDescent="0.25"/>
    <row r="28" spans="1:13" customFormat="1" ht="12.75" customHeight="1" x14ac:dyDescent="0.25"/>
    <row r="29" spans="1:13" customFormat="1" ht="12.75" customHeight="1" x14ac:dyDescent="0.25"/>
    <row r="30" spans="1:13" customFormat="1" ht="12.75" customHeight="1" x14ac:dyDescent="0.25"/>
    <row r="31" spans="1:13" customFormat="1" ht="12.75" customHeight="1" x14ac:dyDescent="0.25"/>
    <row r="32" spans="1:13" customFormat="1" ht="12.75" customHeight="1" x14ac:dyDescent="0.25"/>
    <row r="33" spans="4:8" customFormat="1" ht="12.75" customHeight="1" x14ac:dyDescent="0.25"/>
    <row r="34" spans="4:8" customFormat="1" ht="12.75" customHeight="1" x14ac:dyDescent="0.25"/>
    <row r="35" spans="4:8" customFormat="1" ht="12.75" customHeight="1" x14ac:dyDescent="0.25"/>
    <row r="36" spans="4:8" customFormat="1" ht="12.75" customHeight="1" x14ac:dyDescent="0.25"/>
    <row r="38" spans="4:8" ht="12.75" customHeight="1" x14ac:dyDescent="0.25">
      <c r="D38" s="82"/>
      <c r="E38" s="82"/>
      <c r="F38" s="82"/>
      <c r="G38" s="82"/>
      <c r="H38" s="82"/>
    </row>
  </sheetData>
  <mergeCells count="4">
    <mergeCell ref="A4:K4"/>
    <mergeCell ref="J5:K5"/>
    <mergeCell ref="A11:K11"/>
    <mergeCell ref="J12:K12"/>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5FEED-010A-4855-A875-4C49E4D5017E}">
  <sheetPr>
    <pageSetUpPr fitToPage="1"/>
  </sheetPr>
  <dimension ref="A1:M46"/>
  <sheetViews>
    <sheetView showGridLines="0" zoomScaleNormal="100" zoomScaleSheetLayoutView="100" workbookViewId="0"/>
  </sheetViews>
  <sheetFormatPr defaultColWidth="9.140625" defaultRowHeight="12.75" customHeight="1" x14ac:dyDescent="0.2"/>
  <cols>
    <col min="1" max="1" width="78.7109375" style="10" customWidth="1"/>
    <col min="2" max="8" width="9.5703125" style="10" customWidth="1"/>
    <col min="9" max="9" width="2.5703125" style="10" customWidth="1"/>
    <col min="10" max="11" width="9.5703125" style="10" customWidth="1"/>
    <col min="12" max="12" width="6.140625" style="10" customWidth="1"/>
    <col min="13" max="13" width="9.140625" style="10"/>
    <col min="14" max="14" width="26.7109375" style="10" bestFit="1" customWidth="1"/>
    <col min="15" max="16384" width="9.140625" style="10"/>
  </cols>
  <sheetData>
    <row r="1" spans="1:13" s="3" customFormat="1" ht="27.95" customHeight="1" x14ac:dyDescent="0.25">
      <c r="A1" s="1" t="s">
        <v>0</v>
      </c>
      <c r="B1" s="2"/>
      <c r="C1" s="2"/>
      <c r="D1" s="2"/>
      <c r="E1" s="2"/>
      <c r="F1" s="2"/>
      <c r="G1" s="2"/>
      <c r="H1" s="2"/>
      <c r="I1" s="2"/>
      <c r="J1" s="2"/>
      <c r="K1" s="2"/>
      <c r="L1" s="2"/>
    </row>
    <row r="3" spans="1:13" ht="18" customHeight="1" x14ac:dyDescent="0.25">
      <c r="A3" s="69" t="s">
        <v>116</v>
      </c>
      <c r="B3" s="70"/>
      <c r="C3" s="70"/>
      <c r="D3" s="70"/>
      <c r="E3" s="70"/>
      <c r="F3" s="70"/>
      <c r="G3" s="70"/>
      <c r="H3" s="70"/>
      <c r="I3" s="70"/>
      <c r="J3" s="70"/>
      <c r="K3" s="70"/>
      <c r="L3" s="70"/>
    </row>
    <row r="4" spans="1:13" s="8" customFormat="1" ht="12.75" customHeight="1" x14ac:dyDescent="0.25">
      <c r="A4" s="187" t="s">
        <v>108</v>
      </c>
      <c r="B4" s="187"/>
      <c r="C4" s="187"/>
      <c r="D4" s="187"/>
      <c r="E4" s="187"/>
      <c r="F4" s="187"/>
      <c r="G4" s="187"/>
      <c r="H4" s="187"/>
      <c r="I4" s="187"/>
      <c r="J4" s="187"/>
      <c r="K4" s="187"/>
      <c r="L4" s="72"/>
    </row>
    <row r="5" spans="1:13" s="8" customFormat="1" ht="12.75" customHeight="1" thickBot="1" x14ac:dyDescent="0.3">
      <c r="B5" s="11" t="s">
        <v>6</v>
      </c>
      <c r="C5" s="11" t="s">
        <v>7</v>
      </c>
      <c r="D5" s="11" t="s">
        <v>8</v>
      </c>
      <c r="E5" s="11" t="s">
        <v>9</v>
      </c>
      <c r="F5" s="11" t="s">
        <v>10</v>
      </c>
      <c r="G5" s="11" t="s">
        <v>11</v>
      </c>
      <c r="H5" s="11" t="s">
        <v>12</v>
      </c>
      <c r="J5" s="186" t="s">
        <v>13</v>
      </c>
      <c r="K5" s="186"/>
    </row>
    <row r="6" spans="1:13" s="8" customFormat="1" ht="12.75" customHeight="1" x14ac:dyDescent="0.25">
      <c r="A6" s="8" t="s">
        <v>109</v>
      </c>
      <c r="B6" s="38">
        <f t="shared" ref="B6:H6" si="0">B30</f>
        <v>52.576538359999979</v>
      </c>
      <c r="C6" s="38">
        <f t="shared" si="0"/>
        <v>81.238376209999984</v>
      </c>
      <c r="D6" s="38">
        <f t="shared" si="0"/>
        <v>82.200000000000017</v>
      </c>
      <c r="E6" s="38">
        <f t="shared" si="0"/>
        <v>116.10000000000002</v>
      </c>
      <c r="F6" s="38">
        <f t="shared" si="0"/>
        <v>210.7000000000001</v>
      </c>
      <c r="G6" s="38">
        <f t="shared" si="0"/>
        <v>195.70000000000005</v>
      </c>
      <c r="H6" s="38">
        <f t="shared" si="0"/>
        <v>178.49999999999994</v>
      </c>
      <c r="I6" s="38"/>
      <c r="J6" s="38">
        <f>H6-F6</f>
        <v>-32.200000000000159</v>
      </c>
      <c r="K6" s="73">
        <f>+IF(F6&lt;&gt;0,IF((H6/F6)&lt;0,"n/m ",IF(ABS((J6)/F6)&gt;1,"large ",(J6)/F6*SIGN(F6))),"n/m ")</f>
        <v>-0.1528239202657814</v>
      </c>
    </row>
    <row r="7" spans="1:13" s="8" customFormat="1" ht="12.75" customHeight="1" x14ac:dyDescent="0.25">
      <c r="A7" s="8" t="s">
        <v>117</v>
      </c>
      <c r="B7" s="38">
        <f>FUMA!C28/1000</f>
        <v>44.881999999999998</v>
      </c>
      <c r="C7" s="38">
        <f>FUMA!E28/1000</f>
        <v>85.256</v>
      </c>
      <c r="D7" s="38">
        <f>FUMA!G28/1000</f>
        <v>82.777000000000001</v>
      </c>
      <c r="E7" s="38">
        <f>FUMA!I28/1000</f>
        <v>213.67094097956002</v>
      </c>
      <c r="F7" s="38">
        <f>FUMA!K28/1000</f>
        <v>219.44021410228001</v>
      </c>
      <c r="G7" s="38">
        <f>FUMA!M28/1000</f>
        <v>198.22844410228001</v>
      </c>
      <c r="H7" s="38">
        <f>FUMA!O28/1000</f>
        <v>201.31444410228002</v>
      </c>
      <c r="I7" s="38"/>
      <c r="J7" s="38">
        <f t="shared" ref="J7:J13" si="1">H7-F7</f>
        <v>-18.125769999999989</v>
      </c>
      <c r="K7" s="27">
        <f>+IF(F7&lt;&gt;0,IF((H7/F7)&lt;0,"n/m ",IF(ABS((J7)/F7)&gt;1,"large ",(J7)/F7*SIGN(F7))),"n/m ")</f>
        <v>-8.2600037892560818E-2</v>
      </c>
    </row>
    <row r="8" spans="1:13" s="8" customFormat="1" ht="12.75" customHeight="1" x14ac:dyDescent="0.25">
      <c r="A8" s="8" t="s">
        <v>118</v>
      </c>
      <c r="B8" s="38">
        <v>44.169671631862862</v>
      </c>
      <c r="C8" s="38">
        <v>83.852074467894994</v>
      </c>
      <c r="D8" s="38">
        <v>79.915244384398335</v>
      </c>
      <c r="E8" s="38">
        <v>115.57606321218249</v>
      </c>
      <c r="F8" s="38">
        <v>216.42635057500587</v>
      </c>
      <c r="G8" s="38">
        <v>210.03506493740585</v>
      </c>
      <c r="H8" s="38">
        <v>200.98286876881417</v>
      </c>
      <c r="I8" s="38"/>
      <c r="J8" s="38">
        <f t="shared" si="1"/>
        <v>-15.443481806191699</v>
      </c>
      <c r="K8" s="27">
        <f>+IF(F8&lt;&gt;0,IF((H8/F8)&lt;0,"n/m ",IF(ABS((J8)/F8)&gt;1,"large ",(J8)/F8*SIGN(F8))),"n/m ")</f>
        <v>-7.1356753764784855E-2</v>
      </c>
      <c r="M8" s="26"/>
    </row>
    <row r="9" spans="1:13" s="8" customFormat="1" ht="12.75" customHeight="1" x14ac:dyDescent="0.25">
      <c r="A9" s="8" t="s">
        <v>119</v>
      </c>
      <c r="B9" s="38">
        <f>SUM(FUMA!B23:C23)/1000</f>
        <v>0.77700000000000002</v>
      </c>
      <c r="C9" s="38">
        <f>SUM(FUMA!D23:E23)/1000</f>
        <v>-6.6000000000000003E-2</v>
      </c>
      <c r="D9" s="38">
        <f>SUM(FUMA!F23:G23)/1000</f>
        <v>-0.61899999999999999</v>
      </c>
      <c r="E9" s="38">
        <f>SUM(FUMA!H23:I23)/1000</f>
        <v>-0.25106316226001402</v>
      </c>
      <c r="F9" s="38">
        <f>SUM(FUMA!J23:K23)/1000</f>
        <v>-0.99283932889000004</v>
      </c>
      <c r="G9" s="38">
        <f>SUM(FUMA!L23:M23)/1000</f>
        <v>0.40799999999999997</v>
      </c>
      <c r="H9" s="38">
        <f>SUM(FUMA!N23:O23)/1000</f>
        <v>-0.14199999999999999</v>
      </c>
      <c r="I9" s="38"/>
      <c r="J9" s="38">
        <f t="shared" si="1"/>
        <v>0.85083932889000002</v>
      </c>
      <c r="K9" s="27">
        <f>+IF(F9&lt;&gt;0,IF((H9/F9)&lt;0,"n/m ",IF(ABS((J9)/F9)&gt;1,"large ",(J9)/F9*SIGN(F9))),"n/m ")</f>
        <v>0.85697585110900387</v>
      </c>
    </row>
    <row r="10" spans="1:13" s="8" customFormat="1" ht="12.75" customHeight="1" x14ac:dyDescent="0.25">
      <c r="A10" s="8" t="s">
        <v>110</v>
      </c>
      <c r="B10" s="38">
        <f>B27</f>
        <v>111.45653835999998</v>
      </c>
      <c r="C10" s="38">
        <f>C27</f>
        <v>201.39837620999998</v>
      </c>
      <c r="D10" s="38">
        <f t="shared" ref="D10:H10" si="2">D27</f>
        <v>208.60000000000002</v>
      </c>
      <c r="E10" s="38">
        <f t="shared" si="2"/>
        <v>273.10000000000002</v>
      </c>
      <c r="F10" s="38">
        <f t="shared" si="2"/>
        <v>521.10000000000014</v>
      </c>
      <c r="G10" s="38">
        <f t="shared" si="2"/>
        <v>495.90000000000003</v>
      </c>
      <c r="H10" s="38">
        <f t="shared" si="2"/>
        <v>473.59999999999997</v>
      </c>
      <c r="I10" s="38"/>
      <c r="J10" s="38">
        <f t="shared" si="1"/>
        <v>-47.500000000000171</v>
      </c>
      <c r="K10" s="27">
        <f>+IF(F10&lt;&gt;0,IF((H10/F10)&lt;0,"n/m ",IF(ABS((J10)/F10)&gt;1,"large ",(J10)/F10*SIGN(F10))),"n/m ")</f>
        <v>-9.115332949529871E-2</v>
      </c>
    </row>
    <row r="11" spans="1:13" s="8" customFormat="1" ht="12.75" customHeight="1" x14ac:dyDescent="0.25">
      <c r="A11" s="8" t="s">
        <v>42</v>
      </c>
      <c r="B11" s="83">
        <f>B10/(B8*1000)*Ratios!B34/Ratios!B33*10000</f>
        <v>50.193172015220831</v>
      </c>
      <c r="C11" s="83">
        <f>C10/(C8*1000)*Ratios!C34/Ratios!C33*10000</f>
        <v>48.300524937449161</v>
      </c>
      <c r="D11" s="83">
        <f>D10/(D8*1000)*Ratios!D34/Ratios!D33*10000</f>
        <v>51.779721908009741</v>
      </c>
      <c r="E11" s="83">
        <f>E10/(E8*1000)*Ratios!E34/Ratios!E33*10000</f>
        <v>47.650569160324743</v>
      </c>
      <c r="F11" s="83">
        <f>F10/(F8*1000)*Ratios!F34/Ratios!F33*10000</f>
        <v>47.762382057520313</v>
      </c>
      <c r="G11" s="83">
        <f>G10/(G8*1000)*Ratios!G34/Ratios!G33*10000</f>
        <v>47.612018370103975</v>
      </c>
      <c r="H11" s="83">
        <f>H10/(H8*1000)*Ratios!H34/Ratios!H33*10000</f>
        <v>46.744195991660604</v>
      </c>
      <c r="J11" s="34">
        <f t="shared" si="1"/>
        <v>-1.0181860658597088</v>
      </c>
      <c r="K11" s="27"/>
    </row>
    <row r="12" spans="1:13" s="8" customFormat="1" ht="12.75" customHeight="1" x14ac:dyDescent="0.25">
      <c r="A12" s="8" t="s">
        <v>43</v>
      </c>
      <c r="B12" s="83">
        <f>SUM(B27,B29)/(B8*1000)*Ratios!B34/Ratios!B33*10000</f>
        <v>23.677240229232044</v>
      </c>
      <c r="C12" s="83">
        <f>SUM(C27,C29)/(C8*1000)*Ratios!C34/Ratios!C33*10000</f>
        <v>19.483057857018363</v>
      </c>
      <c r="D12" s="83">
        <f>SUM(D27,D29)/(D8*1000)*Ratios!D34/Ratios!D33*10000</f>
        <v>20.404089841027812</v>
      </c>
      <c r="E12" s="83">
        <f>SUM(E27,E29)/(E8*1000)*Ratios!E34/Ratios!E33*10000</f>
        <v>20.257162502796429</v>
      </c>
      <c r="F12" s="83">
        <f>SUM(F27,F29)/(F8*1000)*Ratios!F34/Ratios!F33*10000</f>
        <v>19.312097293263356</v>
      </c>
      <c r="G12" s="83">
        <f>SUM(G27,G29)/(G8*1000)*Ratios!G34/Ratios!G33*10000</f>
        <v>18.789417211190457</v>
      </c>
      <c r="H12" s="83">
        <f>SUM(H27,H29)/(H8*1000)*Ratios!H34/Ratios!H33*10000</f>
        <v>17.617903261214984</v>
      </c>
      <c r="J12" s="34">
        <f t="shared" si="1"/>
        <v>-1.6941940320483724</v>
      </c>
      <c r="K12" s="27"/>
    </row>
    <row r="13" spans="1:13" s="8" customFormat="1" ht="12.75" customHeight="1" x14ac:dyDescent="0.25">
      <c r="A13" s="8" t="s">
        <v>44</v>
      </c>
      <c r="B13" s="74">
        <f t="shared" ref="B13:E13" si="3">ABS(B29/(SUM(B27)-B24))</f>
        <v>0.52808814395553949</v>
      </c>
      <c r="C13" s="74">
        <f>ABS(C29/(SUM(C27)-C24))</f>
        <v>0.59653958524059536</v>
      </c>
      <c r="D13" s="74">
        <f t="shared" si="3"/>
        <v>0.60594439117929044</v>
      </c>
      <c r="E13" s="74">
        <f t="shared" si="3"/>
        <v>0.57467057101024877</v>
      </c>
      <c r="F13" s="74">
        <f>ABS(F29/(SUM(F27)-F24))</f>
        <v>0.59566302053348674</v>
      </c>
      <c r="G13" s="74">
        <f>ABS(G29/(SUM(G27)-G24))</f>
        <v>0.60536398467432939</v>
      </c>
      <c r="H13" s="74">
        <f>ABS(H29/(SUM(H27)-H24))</f>
        <v>0.62309966216216228</v>
      </c>
      <c r="J13" s="27">
        <f t="shared" si="1"/>
        <v>2.743664162867554E-2</v>
      </c>
      <c r="K13" s="27"/>
    </row>
    <row r="14" spans="1:13" s="8" customFormat="1" ht="12.75" customHeight="1" x14ac:dyDescent="0.25"/>
    <row r="15" spans="1:13" s="6" customFormat="1" ht="18" customHeight="1" x14ac:dyDescent="0.25">
      <c r="A15" s="69" t="s">
        <v>120</v>
      </c>
      <c r="B15" s="70"/>
      <c r="C15" s="70"/>
      <c r="D15" s="70"/>
      <c r="E15" s="70"/>
      <c r="F15" s="70"/>
      <c r="G15" s="70"/>
      <c r="H15" s="70"/>
      <c r="I15" s="70"/>
      <c r="J15" s="70"/>
      <c r="K15" s="70"/>
      <c r="L15" s="70"/>
      <c r="M15" s="84"/>
    </row>
    <row r="16" spans="1:13" s="8" customFormat="1" ht="25.5" customHeight="1" x14ac:dyDescent="0.25">
      <c r="A16" s="187" t="s">
        <v>112</v>
      </c>
      <c r="B16" s="187"/>
      <c r="C16" s="187"/>
      <c r="D16" s="187"/>
      <c r="E16" s="187"/>
      <c r="F16" s="187"/>
      <c r="G16" s="187"/>
      <c r="H16" s="187"/>
      <c r="I16" s="187"/>
      <c r="J16" s="187"/>
      <c r="K16" s="187"/>
      <c r="L16" s="72"/>
      <c r="M16" s="26"/>
    </row>
    <row r="17" spans="1:11" s="3" customFormat="1" ht="12.75" customHeight="1" x14ac:dyDescent="0.25">
      <c r="A17" s="8"/>
      <c r="B17" s="13" t="s">
        <v>6</v>
      </c>
      <c r="C17" s="13" t="s">
        <v>7</v>
      </c>
      <c r="D17" s="13" t="s">
        <v>8</v>
      </c>
      <c r="E17" s="13" t="s">
        <v>9</v>
      </c>
      <c r="F17" s="13" t="s">
        <v>10</v>
      </c>
      <c r="G17" s="13" t="s">
        <v>11</v>
      </c>
      <c r="H17" s="13" t="s">
        <v>12</v>
      </c>
      <c r="I17" s="8"/>
      <c r="J17" s="185" t="s">
        <v>13</v>
      </c>
      <c r="K17" s="185"/>
    </row>
    <row r="18" spans="1:11" s="8" customFormat="1" ht="12.75" customHeight="1" thickBot="1" x14ac:dyDescent="0.3">
      <c r="B18" s="11" t="s">
        <v>48</v>
      </c>
      <c r="C18" s="11" t="s">
        <v>48</v>
      </c>
      <c r="D18" s="11" t="s">
        <v>48</v>
      </c>
      <c r="E18" s="11" t="s">
        <v>48</v>
      </c>
      <c r="F18" s="11" t="s">
        <v>48</v>
      </c>
      <c r="G18" s="11" t="s">
        <v>48</v>
      </c>
      <c r="H18" s="11" t="s">
        <v>48</v>
      </c>
      <c r="J18" s="11" t="s">
        <v>48</v>
      </c>
      <c r="K18" s="11" t="s">
        <v>49</v>
      </c>
    </row>
    <row r="19" spans="1:11" s="8" customFormat="1" ht="12.75" customHeight="1" x14ac:dyDescent="0.25">
      <c r="A19" s="12" t="s">
        <v>52</v>
      </c>
    </row>
    <row r="20" spans="1:11" s="8" customFormat="1" ht="12.75" customHeight="1" x14ac:dyDescent="0.25">
      <c r="A20" s="15" t="s">
        <v>60</v>
      </c>
      <c r="B20" s="38">
        <v>129.47792602999999</v>
      </c>
      <c r="C20" s="38">
        <v>232.11578975999998</v>
      </c>
      <c r="D20" s="38">
        <v>250.3</v>
      </c>
      <c r="E20" s="38">
        <v>305.60000000000002</v>
      </c>
      <c r="F20" s="38">
        <v>630.20000000000005</v>
      </c>
      <c r="G20" s="38">
        <v>570.20000000000005</v>
      </c>
      <c r="H20" s="38">
        <v>555.5</v>
      </c>
      <c r="I20" s="38"/>
      <c r="J20" s="38">
        <f t="shared" ref="J20:J27" si="4">H20-F20</f>
        <v>-74.700000000000045</v>
      </c>
      <c r="K20" s="27">
        <f t="shared" ref="K20:K27" si="5">+IF(F20&lt;&gt;0,IF((H20/F20)&lt;0,"n/m ",IF(ABS((J20)/F20)&gt;1,"large ",(J20)/F20*SIGN(F20))),"n/m ")</f>
        <v>-0.11853379879403371</v>
      </c>
    </row>
    <row r="21" spans="1:11" s="8" customFormat="1" ht="12.75" customHeight="1" x14ac:dyDescent="0.25">
      <c r="A21" s="15" t="s">
        <v>61</v>
      </c>
      <c r="B21" s="38">
        <v>4.46</v>
      </c>
      <c r="C21" s="38">
        <v>7.1899999999999995</v>
      </c>
      <c r="D21" s="38">
        <v>7.5</v>
      </c>
      <c r="E21" s="38">
        <v>6.9</v>
      </c>
      <c r="F21" s="38">
        <v>11.5</v>
      </c>
      <c r="G21" s="38">
        <v>10</v>
      </c>
      <c r="H21" s="38">
        <v>11.3</v>
      </c>
      <c r="I21" s="38"/>
      <c r="J21" s="38">
        <f t="shared" si="4"/>
        <v>-0.19999999999999929</v>
      </c>
      <c r="K21" s="73">
        <f t="shared" si="5"/>
        <v>-1.7391304347826025E-2</v>
      </c>
    </row>
    <row r="22" spans="1:11" s="8" customFormat="1" ht="12.75" customHeight="1" x14ac:dyDescent="0.25">
      <c r="A22" s="15" t="s">
        <v>62</v>
      </c>
      <c r="B22" s="38">
        <v>-18.531387670000022</v>
      </c>
      <c r="C22" s="38">
        <v>-24.457413549999991</v>
      </c>
      <c r="D22" s="38">
        <v>-36.5</v>
      </c>
      <c r="E22" s="38">
        <v>-22.4</v>
      </c>
      <c r="F22" s="38">
        <v>-99.5</v>
      </c>
      <c r="G22" s="38">
        <v>-73.3</v>
      </c>
      <c r="H22" s="38">
        <v>-84.2</v>
      </c>
      <c r="I22" s="38"/>
      <c r="J22" s="38">
        <f t="shared" si="4"/>
        <v>15.299999999999997</v>
      </c>
      <c r="K22" s="73">
        <f t="shared" si="5"/>
        <v>0.15376884422110551</v>
      </c>
    </row>
    <row r="23" spans="1:11" s="8" customFormat="1" ht="12.75" customHeight="1" x14ac:dyDescent="0.25">
      <c r="A23" s="15" t="s">
        <v>63</v>
      </c>
      <c r="B23" s="38">
        <v>-3.91</v>
      </c>
      <c r="C23" s="38">
        <v>-13.96</v>
      </c>
      <c r="D23" s="38">
        <v>-12.7</v>
      </c>
      <c r="E23" s="38">
        <v>-19.2</v>
      </c>
      <c r="F23" s="38">
        <v>-24.3</v>
      </c>
      <c r="G23" s="38">
        <v>-15.5</v>
      </c>
      <c r="H23" s="38">
        <v>-17.100000000000001</v>
      </c>
      <c r="I23" s="38"/>
      <c r="J23" s="38">
        <f t="shared" si="4"/>
        <v>7.1999999999999993</v>
      </c>
      <c r="K23" s="73">
        <f t="shared" si="5"/>
        <v>0.29629629629629628</v>
      </c>
    </row>
    <row r="24" spans="1:11" s="8" customFormat="1" ht="12.75" customHeight="1" x14ac:dyDescent="0.25">
      <c r="A24" s="15" t="s">
        <v>64</v>
      </c>
      <c r="B24" s="38">
        <v>-0.04</v>
      </c>
      <c r="C24" s="38">
        <v>-0.03</v>
      </c>
      <c r="D24" s="38">
        <v>0</v>
      </c>
      <c r="E24" s="38">
        <v>-0.1</v>
      </c>
      <c r="F24" s="38">
        <v>0</v>
      </c>
      <c r="G24" s="38">
        <v>0</v>
      </c>
      <c r="H24" s="38">
        <v>0</v>
      </c>
      <c r="I24" s="38"/>
      <c r="J24" s="19">
        <f t="shared" si="4"/>
        <v>0</v>
      </c>
      <c r="K24" s="73" t="str">
        <f t="shared" si="5"/>
        <v xml:space="preserve">n/m </v>
      </c>
    </row>
    <row r="25" spans="1:11" s="8" customFormat="1" ht="12.75" customHeight="1" x14ac:dyDescent="0.25">
      <c r="A25" s="15" t="s">
        <v>113</v>
      </c>
      <c r="B25" s="38">
        <v>0</v>
      </c>
      <c r="C25" s="38">
        <v>0.54</v>
      </c>
      <c r="D25" s="38">
        <v>0</v>
      </c>
      <c r="E25" s="38">
        <v>2.2999999999999998</v>
      </c>
      <c r="F25" s="38">
        <v>3.1999999999999997</v>
      </c>
      <c r="G25" s="38">
        <v>4.5</v>
      </c>
      <c r="H25" s="38">
        <v>8.1</v>
      </c>
      <c r="I25" s="38"/>
      <c r="J25" s="38">
        <f t="shared" si="4"/>
        <v>4.9000000000000004</v>
      </c>
      <c r="K25" s="73" t="str">
        <f t="shared" si="5"/>
        <v xml:space="preserve">large </v>
      </c>
    </row>
    <row r="26" spans="1:11" s="8" customFormat="1" ht="12.75" customHeight="1" x14ac:dyDescent="0.25">
      <c r="A26" s="15" t="s">
        <v>70</v>
      </c>
      <c r="B26" s="42">
        <v>0</v>
      </c>
      <c r="C26" s="42">
        <v>0</v>
      </c>
      <c r="D26" s="42">
        <v>0</v>
      </c>
      <c r="E26" s="42">
        <v>0</v>
      </c>
      <c r="F26" s="42">
        <v>0</v>
      </c>
      <c r="G26" s="42">
        <v>0</v>
      </c>
      <c r="H26" s="42">
        <v>0</v>
      </c>
      <c r="I26" s="38"/>
      <c r="J26" s="42">
        <f t="shared" si="4"/>
        <v>0</v>
      </c>
      <c r="K26" s="77" t="str">
        <f t="shared" si="5"/>
        <v xml:space="preserve">n/m </v>
      </c>
    </row>
    <row r="27" spans="1:11" s="8" customFormat="1" ht="12.75" customHeight="1" x14ac:dyDescent="0.25">
      <c r="A27" s="12" t="s">
        <v>71</v>
      </c>
      <c r="B27" s="45">
        <f t="shared" ref="B27:H27" si="6">SUM(B20:B26)</f>
        <v>111.45653835999998</v>
      </c>
      <c r="C27" s="45">
        <f t="shared" si="6"/>
        <v>201.39837620999998</v>
      </c>
      <c r="D27" s="45">
        <f>SUM(D20:D26)</f>
        <v>208.60000000000002</v>
      </c>
      <c r="E27" s="45">
        <f>SUM(E20:E26)</f>
        <v>273.10000000000002</v>
      </c>
      <c r="F27" s="45">
        <f t="shared" si="6"/>
        <v>521.10000000000014</v>
      </c>
      <c r="G27" s="45">
        <f t="shared" si="6"/>
        <v>495.90000000000003</v>
      </c>
      <c r="H27" s="45">
        <f t="shared" si="6"/>
        <v>473.59999999999997</v>
      </c>
      <c r="I27" s="38"/>
      <c r="J27" s="78">
        <f t="shared" si="4"/>
        <v>-47.500000000000171</v>
      </c>
      <c r="K27" s="79">
        <f t="shared" si="5"/>
        <v>-9.115332949529871E-2</v>
      </c>
    </row>
    <row r="28" spans="1:11" s="6" customFormat="1" ht="12.75" customHeight="1" x14ac:dyDescent="0.2">
      <c r="A28" s="85"/>
      <c r="B28" s="86"/>
      <c r="C28" s="86"/>
      <c r="D28" s="86"/>
      <c r="E28" s="86"/>
      <c r="F28" s="86"/>
      <c r="G28" s="86"/>
      <c r="H28" s="86"/>
      <c r="I28" s="53"/>
      <c r="J28" s="87"/>
      <c r="K28" s="88"/>
    </row>
    <row r="29" spans="1:11" s="8" customFormat="1" ht="12.75" customHeight="1" x14ac:dyDescent="0.25">
      <c r="A29" s="15" t="s">
        <v>114</v>
      </c>
      <c r="B29" s="38">
        <v>-58.88</v>
      </c>
      <c r="C29" s="38">
        <v>-120.16</v>
      </c>
      <c r="D29" s="38">
        <v>-126.4</v>
      </c>
      <c r="E29" s="38">
        <v>-157</v>
      </c>
      <c r="F29" s="38">
        <v>-310.40000000000003</v>
      </c>
      <c r="G29" s="38">
        <v>-300.2</v>
      </c>
      <c r="H29" s="38">
        <v>-295.10000000000002</v>
      </c>
      <c r="I29" s="38"/>
      <c r="J29" s="38">
        <f t="shared" ref="J29:J30" si="7">H29-F29</f>
        <v>15.300000000000011</v>
      </c>
      <c r="K29" s="73">
        <f>+IF(F29&lt;&gt;0,IF((H29/F29)&lt;0,"n/m ",IF(ABS((J29)/F29)&gt;1,"large ",(J29)/F29*SIGN(F29))),"n/m ")</f>
        <v>4.9291237113402095E-2</v>
      </c>
    </row>
    <row r="30" spans="1:11" s="8" customFormat="1" ht="12.75" customHeight="1" thickBot="1" x14ac:dyDescent="0.3">
      <c r="A30" s="12" t="s">
        <v>115</v>
      </c>
      <c r="B30" s="64">
        <f t="shared" ref="B30:F30" si="8">SUM(B27:B29)</f>
        <v>52.576538359999979</v>
      </c>
      <c r="C30" s="64">
        <f t="shared" si="8"/>
        <v>81.238376209999984</v>
      </c>
      <c r="D30" s="64">
        <f t="shared" si="8"/>
        <v>82.200000000000017</v>
      </c>
      <c r="E30" s="64">
        <f t="shared" si="8"/>
        <v>116.10000000000002</v>
      </c>
      <c r="F30" s="64">
        <f t="shared" si="8"/>
        <v>210.7000000000001</v>
      </c>
      <c r="G30" s="64">
        <f t="shared" ref="G30:H30" si="9">SUM(G27:G29)</f>
        <v>195.70000000000005</v>
      </c>
      <c r="H30" s="64">
        <f t="shared" si="9"/>
        <v>178.49999999999994</v>
      </c>
      <c r="I30" s="38"/>
      <c r="J30" s="80">
        <f t="shared" si="7"/>
        <v>-32.200000000000159</v>
      </c>
      <c r="K30" s="81">
        <f>+IF(F30&lt;&gt;0,IF((H30/F30)&lt;0,"n/m ",IF(ABS((J30)/F30)&gt;1,"large ",(J30)/F30*SIGN(F30))),"n/m ")</f>
        <v>-0.1528239202657814</v>
      </c>
    </row>
    <row r="31" spans="1:11" s="3" customFormat="1" ht="12.75" customHeight="1" thickTop="1" x14ac:dyDescent="0.25"/>
    <row r="32" spans="1:11" customFormat="1" ht="12.75" customHeight="1" x14ac:dyDescent="0.25"/>
    <row r="33" spans="4:7" customFormat="1" ht="12.75" customHeight="1" x14ac:dyDescent="0.25"/>
    <row r="34" spans="4:7" customFormat="1" ht="12.75" customHeight="1" x14ac:dyDescent="0.25"/>
    <row r="35" spans="4:7" customFormat="1" ht="12.75" customHeight="1" x14ac:dyDescent="0.25"/>
    <row r="36" spans="4:7" customFormat="1" ht="12.75" customHeight="1" x14ac:dyDescent="0.25"/>
    <row r="37" spans="4:7" customFormat="1" ht="12.75" customHeight="1" x14ac:dyDescent="0.25"/>
    <row r="38" spans="4:7" customFormat="1" ht="12.75" customHeight="1" x14ac:dyDescent="0.25"/>
    <row r="39" spans="4:7" customFormat="1" ht="12.75" customHeight="1" x14ac:dyDescent="0.25"/>
    <row r="40" spans="4:7" customFormat="1" ht="12.75" customHeight="1" x14ac:dyDescent="0.25"/>
    <row r="41" spans="4:7" customFormat="1" ht="12.75" customHeight="1" x14ac:dyDescent="0.25"/>
    <row r="42" spans="4:7" customFormat="1" ht="12.75" customHeight="1" x14ac:dyDescent="0.25"/>
    <row r="43" spans="4:7" customFormat="1" ht="12.75" customHeight="1" x14ac:dyDescent="0.25"/>
    <row r="44" spans="4:7" customFormat="1" ht="12.75" customHeight="1" x14ac:dyDescent="0.25"/>
    <row r="45" spans="4:7" customFormat="1" ht="12.75" customHeight="1" x14ac:dyDescent="0.25"/>
    <row r="46" spans="4:7" ht="12.75" customHeight="1" x14ac:dyDescent="0.2">
      <c r="D46" s="89"/>
      <c r="E46" s="89"/>
      <c r="F46" s="89"/>
      <c r="G46" s="90"/>
    </row>
  </sheetData>
  <mergeCells count="4">
    <mergeCell ref="A4:K4"/>
    <mergeCell ref="J5:K5"/>
    <mergeCell ref="A16:K16"/>
    <mergeCell ref="J17:K17"/>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rowBreaks count="1" manualBreakCount="1">
    <brk id="3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9A8C-5DF3-42D9-8BE9-55FB4CA51AC2}">
  <sheetPr>
    <pageSetUpPr fitToPage="1"/>
  </sheetPr>
  <dimension ref="A1:N45"/>
  <sheetViews>
    <sheetView showGridLines="0" zoomScaleNormal="100" zoomScaleSheetLayoutView="100" workbookViewId="0"/>
  </sheetViews>
  <sheetFormatPr defaultColWidth="9.140625" defaultRowHeight="12.75" customHeight="1" x14ac:dyDescent="0.2"/>
  <cols>
    <col min="1" max="1" width="78.7109375" style="10" customWidth="1"/>
    <col min="2" max="8" width="9.5703125" style="10" customWidth="1"/>
    <col min="9" max="9" width="2.5703125" style="10" customWidth="1"/>
    <col min="10" max="11" width="9.5703125" style="10" customWidth="1"/>
    <col min="12" max="12" width="6.140625" style="10" customWidth="1"/>
    <col min="13" max="13" width="9.140625" style="10"/>
    <col min="14" max="14" width="19.5703125" style="10" bestFit="1" customWidth="1"/>
    <col min="15" max="16384" width="9.140625" style="10"/>
  </cols>
  <sheetData>
    <row r="1" spans="1:13" s="3" customFormat="1" ht="27.95" customHeight="1" x14ac:dyDescent="0.25">
      <c r="A1" s="1" t="s">
        <v>0</v>
      </c>
      <c r="B1" s="2"/>
      <c r="C1" s="2"/>
      <c r="D1" s="2"/>
      <c r="E1" s="2"/>
      <c r="F1" s="2"/>
      <c r="G1" s="2"/>
      <c r="H1" s="2"/>
      <c r="I1" s="2"/>
      <c r="J1" s="2"/>
      <c r="K1" s="2"/>
      <c r="L1" s="2"/>
    </row>
    <row r="3" spans="1:13" ht="18" customHeight="1" x14ac:dyDescent="0.25">
      <c r="A3" s="69" t="s">
        <v>121</v>
      </c>
      <c r="B3" s="70"/>
      <c r="C3" s="70"/>
      <c r="D3" s="70"/>
      <c r="E3" s="70"/>
      <c r="F3" s="70"/>
      <c r="G3" s="70"/>
      <c r="H3" s="70"/>
      <c r="I3" s="70"/>
      <c r="J3" s="70"/>
      <c r="K3" s="70"/>
      <c r="L3" s="70"/>
    </row>
    <row r="4" spans="1:13" s="8" customFormat="1" ht="12.75" customHeight="1" x14ac:dyDescent="0.25">
      <c r="A4" s="187" t="s">
        <v>108</v>
      </c>
      <c r="B4" s="187"/>
      <c r="C4" s="187"/>
      <c r="D4" s="187"/>
      <c r="E4" s="187"/>
      <c r="F4" s="187"/>
      <c r="G4" s="187"/>
      <c r="H4" s="187"/>
      <c r="I4" s="187"/>
      <c r="J4" s="187"/>
      <c r="K4" s="187"/>
      <c r="L4" s="72"/>
    </row>
    <row r="5" spans="1:13" s="8" customFormat="1" ht="12.75" customHeight="1" thickBot="1" x14ac:dyDescent="0.3">
      <c r="B5" s="11" t="s">
        <v>6</v>
      </c>
      <c r="C5" s="11" t="s">
        <v>7</v>
      </c>
      <c r="D5" s="11" t="s">
        <v>8</v>
      </c>
      <c r="E5" s="11" t="s">
        <v>9</v>
      </c>
      <c r="F5" s="11" t="s">
        <v>10</v>
      </c>
      <c r="G5" s="11" t="s">
        <v>11</v>
      </c>
      <c r="H5" s="11" t="s">
        <v>12</v>
      </c>
      <c r="J5" s="186" t="s">
        <v>13</v>
      </c>
      <c r="K5" s="186"/>
    </row>
    <row r="6" spans="1:13" s="8" customFormat="1" ht="12.75" customHeight="1" x14ac:dyDescent="0.25">
      <c r="A6" s="8" t="s">
        <v>109</v>
      </c>
      <c r="B6" s="38">
        <f t="shared" ref="B6:E6" si="0">B30</f>
        <v>29.400000000000009</v>
      </c>
      <c r="C6" s="38">
        <f t="shared" si="0"/>
        <v>26.51</v>
      </c>
      <c r="D6" s="38">
        <f t="shared" si="0"/>
        <v>23.799999999999994</v>
      </c>
      <c r="E6" s="38">
        <f t="shared" si="0"/>
        <v>28.428262730000004</v>
      </c>
      <c r="F6" s="38">
        <f>F30</f>
        <v>53.89866193000006</v>
      </c>
      <c r="G6" s="38">
        <f>G30</f>
        <v>52.637834209999951</v>
      </c>
      <c r="H6" s="38">
        <f>H30</f>
        <v>51.7</v>
      </c>
      <c r="I6" s="38"/>
      <c r="J6" s="38">
        <f>H6-F6</f>
        <v>-2.1986619300000569</v>
      </c>
      <c r="K6" s="20">
        <f>+IF(F6&lt;&gt;0,IF((H6/F6)&lt;0,"n/m ",IF(ABS((J6)/F6)&gt;1,"large ",(J6)/F6*SIGN(F6))),"n/m ")</f>
        <v>-4.079251416028714E-2</v>
      </c>
    </row>
    <row r="7" spans="1:13" s="8" customFormat="1" ht="12.75" customHeight="1" x14ac:dyDescent="0.25">
      <c r="A7" s="8" t="s">
        <v>122</v>
      </c>
      <c r="B7" s="38">
        <f>FUMA!C39/1000</f>
        <v>23.606999999999999</v>
      </c>
      <c r="C7" s="38">
        <f>FUMA!E39/1000</f>
        <v>22.385999999999999</v>
      </c>
      <c r="D7" s="38">
        <f>FUMA!G39/1000</f>
        <v>21.847999999999999</v>
      </c>
      <c r="E7" s="38">
        <f>FUMA!I39/1000</f>
        <v>97.69106310650001</v>
      </c>
      <c r="F7" s="38">
        <f>FUMA!K39/1000</f>
        <v>98.845019815280025</v>
      </c>
      <c r="G7" s="38">
        <f>FUMA!M39/1000</f>
        <v>92.34601981528003</v>
      </c>
      <c r="H7" s="38">
        <f>FUMA!O39/1000</f>
        <v>83.788019815280023</v>
      </c>
      <c r="I7" s="38"/>
      <c r="J7" s="38">
        <f t="shared" ref="J7:J13" si="1">H7-F7</f>
        <v>-15.057000000000002</v>
      </c>
      <c r="K7" s="20">
        <f>+IF(F7&lt;&gt;0,IF((H7/F7)&lt;0,"n/m ",IF(ABS((J7)/F7)&gt;1,"large ",(J7)/F7*SIGN(F7))),"n/m ")</f>
        <v>-0.15232937408620364</v>
      </c>
    </row>
    <row r="8" spans="1:13" s="8" customFormat="1" ht="12.75" customHeight="1" x14ac:dyDescent="0.25">
      <c r="A8" s="8" t="s">
        <v>123</v>
      </c>
      <c r="B8" s="38">
        <v>23.332650920394286</v>
      </c>
      <c r="C8" s="38">
        <v>22.663595139904285</v>
      </c>
      <c r="D8" s="38">
        <v>22.544198171295712</v>
      </c>
      <c r="E8" s="38">
        <v>40.683716333584997</v>
      </c>
      <c r="F8" s="38">
        <v>97.864425841235018</v>
      </c>
      <c r="G8" s="38">
        <v>96.805982065039998</v>
      </c>
      <c r="H8" s="38">
        <v>90.87434640316917</v>
      </c>
      <c r="I8" s="38"/>
      <c r="J8" s="38">
        <f t="shared" si="1"/>
        <v>-6.9900794380658482</v>
      </c>
      <c r="K8" s="20">
        <f>+IF(F8&lt;&gt;0,IF((H8/F8)&lt;0,"n/m ",IF(ABS((J8)/F8)&gt;1,"large ",(J8)/F8*SIGN(F8))),"n/m ")</f>
        <v>-7.1426152843381718E-2</v>
      </c>
      <c r="M8" s="26"/>
    </row>
    <row r="9" spans="1:13" s="8" customFormat="1" ht="12.75" customHeight="1" x14ac:dyDescent="0.25">
      <c r="A9" s="8" t="s">
        <v>124</v>
      </c>
      <c r="B9" s="38">
        <f>SUM(FUMA!B36:C36)/1000</f>
        <v>-0.311</v>
      </c>
      <c r="C9" s="38">
        <f>SUM(FUMA!D36:E36)/1000</f>
        <v>-0.13200000000000001</v>
      </c>
      <c r="D9" s="38">
        <f>SUM(FUMA!F36:G36)/1000</f>
        <v>-2.23</v>
      </c>
      <c r="E9" s="38">
        <f>SUM(FUMA!H36:I36)/1000</f>
        <v>-7.8010756389999977E-2</v>
      </c>
      <c r="F9" s="38">
        <f>SUM(FUMA!J36:K36)/1000</f>
        <v>-0.19706125532999999</v>
      </c>
      <c r="G9" s="38">
        <f>SUM(FUMA!L36:M36)/1000</f>
        <v>-0.45800000000000002</v>
      </c>
      <c r="H9" s="38">
        <f>SUM(FUMA!N36:O36)/1000</f>
        <v>8.5999999999999993E-2</v>
      </c>
      <c r="I9" s="38"/>
      <c r="J9" s="38">
        <f t="shared" si="1"/>
        <v>0.28306125532999998</v>
      </c>
      <c r="K9" s="20" t="str">
        <f>+IF(F9&lt;&gt;0,IF((H9/F9)&lt;0,"n/m ",IF(ABS((J9)/F9)&gt;1,"large ",(J9)/F9*SIGN(F9))),"n/m ")</f>
        <v xml:space="preserve">n/m </v>
      </c>
    </row>
    <row r="10" spans="1:13" s="8" customFormat="1" ht="12.75" customHeight="1" x14ac:dyDescent="0.25">
      <c r="A10" s="8" t="s">
        <v>110</v>
      </c>
      <c r="B10" s="38">
        <f t="shared" ref="B10:E10" si="2">B27</f>
        <v>34.600000000000009</v>
      </c>
      <c r="C10" s="38">
        <f t="shared" si="2"/>
        <v>31.85</v>
      </c>
      <c r="D10" s="38">
        <f t="shared" si="2"/>
        <v>30.799999999999994</v>
      </c>
      <c r="E10" s="38">
        <f t="shared" si="2"/>
        <v>46.048262730000005</v>
      </c>
      <c r="F10" s="38">
        <f>F27</f>
        <v>123.00000000000001</v>
      </c>
      <c r="G10" s="38">
        <f>G27</f>
        <v>120.7</v>
      </c>
      <c r="H10" s="38">
        <f>H27</f>
        <v>114</v>
      </c>
      <c r="I10" s="38"/>
      <c r="J10" s="38">
        <f t="shared" si="1"/>
        <v>-9.0000000000000142</v>
      </c>
      <c r="K10" s="20">
        <f>+IF(F10&lt;&gt;0,IF((H10/F10)&lt;0,"n/m ",IF(ABS((J10)/F10)&gt;1,"large ",(J10)/F10*SIGN(F10))),"n/m ")</f>
        <v>-7.317073170731718E-2</v>
      </c>
    </row>
    <row r="11" spans="1:13" s="8" customFormat="1" ht="12.75" customHeight="1" x14ac:dyDescent="0.25">
      <c r="A11" s="8" t="s">
        <v>42</v>
      </c>
      <c r="B11" s="83">
        <f>B10/(B8*1000)*Ratios!B34/Ratios!B33*10000</f>
        <v>29.49682540500428</v>
      </c>
      <c r="C11" s="83">
        <f>C10/(C8*1000)*Ratios!C34/Ratios!C33*10000</f>
        <v>28.26118257258566</v>
      </c>
      <c r="D11" s="83">
        <f>D10/(D8*1000)*Ratios!D34/Ratios!D33*10000</f>
        <v>27.101352473360087</v>
      </c>
      <c r="E11" s="83">
        <f>E10/(E8*1000)*Ratios!E34/Ratios!E33*10000</f>
        <v>22.824796921838931</v>
      </c>
      <c r="F11" s="83">
        <f>F10/(F8*1000)*Ratios!F34/Ratios!F33*10000</f>
        <v>24.931895642367792</v>
      </c>
      <c r="G11" s="83">
        <f>G10/(G8*1000)*Ratios!G34/Ratios!G33*10000</f>
        <v>25.143131374118688</v>
      </c>
      <c r="H11" s="83">
        <f>H10/(H8*1000)*Ratios!H34/Ratios!H33*10000</f>
        <v>24.885054286337027</v>
      </c>
      <c r="J11" s="34">
        <f t="shared" si="1"/>
        <v>-4.6841356030764558E-2</v>
      </c>
      <c r="K11" s="20"/>
    </row>
    <row r="12" spans="1:13" s="8" customFormat="1" ht="12.75" customHeight="1" x14ac:dyDescent="0.25">
      <c r="A12" s="8" t="s">
        <v>43</v>
      </c>
      <c r="B12" s="83">
        <f>SUM(B27,B29)/(B8*1000)*Ratios!B34/Ratios!B33*10000</f>
        <v>25.063776500205954</v>
      </c>
      <c r="C12" s="83">
        <f>SUM(C27,C29)/(C8*1000)*Ratios!C34/Ratios!C33*10000</f>
        <v>23.522886970149006</v>
      </c>
      <c r="D12" s="83">
        <f>SUM(D27,D29)/(D8*1000)*Ratios!D34/Ratios!D33*10000</f>
        <v>20.941954183960068</v>
      </c>
      <c r="E12" s="83">
        <f>SUM(E27,E29)/(E8*1000)*Ratios!E34/Ratios!E33*10000</f>
        <v>14.09107065466338</v>
      </c>
      <c r="F12" s="83">
        <f>SUM(F27,F29)/(F8*1000)*Ratios!F34/Ratios!F33*10000</f>
        <v>10.925169223593683</v>
      </c>
      <c r="G12" s="83">
        <f>SUM(G27,G29)/(G8*1000)*Ratios!G34/Ratios!G33*10000</f>
        <v>10.965037123372889</v>
      </c>
      <c r="H12" s="83">
        <f>SUM(H27,H29)/(H8*1000)*Ratios!H34/Ratios!H33*10000</f>
        <v>11.285590408803721</v>
      </c>
      <c r="J12" s="34">
        <f t="shared" si="1"/>
        <v>0.36042118521003808</v>
      </c>
      <c r="K12" s="20"/>
    </row>
    <row r="13" spans="1:13" s="8" customFormat="1" ht="12.75" customHeight="1" x14ac:dyDescent="0.25">
      <c r="A13" s="8" t="s">
        <v>44</v>
      </c>
      <c r="B13" s="74">
        <f t="shared" ref="B13:G13" si="3">ABS(B29/(SUM(B27)-B24))</f>
        <v>0.15028901734104044</v>
      </c>
      <c r="C13" s="74">
        <f t="shared" si="3"/>
        <v>0.16766091051805337</v>
      </c>
      <c r="D13" s="74">
        <f t="shared" si="3"/>
        <v>0.22727272727272732</v>
      </c>
      <c r="E13" s="74">
        <f t="shared" si="3"/>
        <v>0.3826420141692064</v>
      </c>
      <c r="F13" s="74">
        <f t="shared" si="3"/>
        <v>0.56179949650406458</v>
      </c>
      <c r="G13" s="74">
        <f t="shared" si="3"/>
        <v>0.56389532551781318</v>
      </c>
      <c r="H13" s="74">
        <f>ABS(H29/(SUM(H27)-H24))</f>
        <v>0.54649122807017536</v>
      </c>
      <c r="J13" s="20">
        <f t="shared" si="1"/>
        <v>-1.5308268433889216E-2</v>
      </c>
      <c r="K13" s="20"/>
    </row>
    <row r="14" spans="1:13" s="8" customFormat="1" ht="12.75" customHeight="1" x14ac:dyDescent="0.25"/>
    <row r="15" spans="1:13" ht="18" customHeight="1" x14ac:dyDescent="0.25">
      <c r="A15" s="69" t="s">
        <v>125</v>
      </c>
      <c r="B15" s="70"/>
      <c r="C15" s="70"/>
      <c r="D15" s="70"/>
      <c r="E15" s="70"/>
      <c r="F15" s="70"/>
      <c r="G15" s="70"/>
      <c r="H15" s="70"/>
      <c r="I15" s="70"/>
      <c r="J15" s="70"/>
      <c r="K15" s="70"/>
      <c r="L15" s="70"/>
      <c r="M15" s="84"/>
    </row>
    <row r="16" spans="1:13" s="8" customFormat="1" ht="38.25" customHeight="1" x14ac:dyDescent="0.25">
      <c r="A16" s="184" t="s">
        <v>126</v>
      </c>
      <c r="B16" s="184"/>
      <c r="C16" s="184"/>
      <c r="D16" s="184"/>
      <c r="E16" s="184"/>
      <c r="F16" s="184"/>
      <c r="G16" s="184"/>
      <c r="H16" s="184"/>
      <c r="I16" s="184"/>
      <c r="J16" s="184"/>
      <c r="K16" s="184"/>
      <c r="L16" s="72"/>
      <c r="M16" s="26"/>
    </row>
    <row r="17" spans="1:14" s="8" customFormat="1" ht="12.75" customHeight="1" x14ac:dyDescent="0.25">
      <c r="B17" s="13" t="s">
        <v>6</v>
      </c>
      <c r="C17" s="13" t="s">
        <v>7</v>
      </c>
      <c r="D17" s="13" t="s">
        <v>8</v>
      </c>
      <c r="E17" s="13" t="s">
        <v>9</v>
      </c>
      <c r="F17" s="13" t="s">
        <v>10</v>
      </c>
      <c r="G17" s="13" t="s">
        <v>11</v>
      </c>
      <c r="H17" s="13" t="s">
        <v>12</v>
      </c>
      <c r="J17" s="185" t="s">
        <v>13</v>
      </c>
      <c r="K17" s="185"/>
    </row>
    <row r="18" spans="1:14" s="8" customFormat="1" ht="12.75" customHeight="1" thickBot="1" x14ac:dyDescent="0.3">
      <c r="B18" s="11" t="s">
        <v>48</v>
      </c>
      <c r="C18" s="11" t="s">
        <v>48</v>
      </c>
      <c r="D18" s="11" t="s">
        <v>48</v>
      </c>
      <c r="E18" s="11" t="s">
        <v>48</v>
      </c>
      <c r="F18" s="11" t="s">
        <v>48</v>
      </c>
      <c r="G18" s="11" t="s">
        <v>48</v>
      </c>
      <c r="H18" s="11" t="s">
        <v>48</v>
      </c>
      <c r="J18" s="11" t="s">
        <v>48</v>
      </c>
      <c r="K18" s="11" t="s">
        <v>49</v>
      </c>
    </row>
    <row r="19" spans="1:14" s="8" customFormat="1" ht="12.75" customHeight="1" x14ac:dyDescent="0.25">
      <c r="A19" s="12" t="s">
        <v>52</v>
      </c>
    </row>
    <row r="20" spans="1:14" s="8" customFormat="1" ht="12.75" customHeight="1" x14ac:dyDescent="0.25">
      <c r="A20" s="15" t="s">
        <v>60</v>
      </c>
      <c r="B20" s="38">
        <v>51.300000000000004</v>
      </c>
      <c r="C20" s="38">
        <v>47</v>
      </c>
      <c r="D20" s="38">
        <v>46.98</v>
      </c>
      <c r="E20" s="38">
        <v>76</v>
      </c>
      <c r="F20" s="38">
        <v>145</v>
      </c>
      <c r="G20" s="38">
        <v>159.19999999999999</v>
      </c>
      <c r="H20" s="38">
        <v>135.6</v>
      </c>
      <c r="I20" s="38"/>
      <c r="J20" s="38">
        <f t="shared" ref="J20:J27" si="4">H20-F20</f>
        <v>-9.4000000000000057</v>
      </c>
      <c r="K20" s="20">
        <f t="shared" ref="K20:K27" si="5">+IF(F20&lt;&gt;0,IF((H20/F20)&lt;0,"n/m ",IF(ABS((J20)/F20)&gt;1,"large ",(J20)/F20*SIGN(F20))),"n/m ")</f>
        <v>-6.482758620689659E-2</v>
      </c>
      <c r="M20" s="38"/>
      <c r="N20" s="38"/>
    </row>
    <row r="21" spans="1:14" s="8" customFormat="1" ht="12.75" customHeight="1" x14ac:dyDescent="0.25">
      <c r="A21" s="15" t="s">
        <v>61</v>
      </c>
      <c r="B21" s="38">
        <v>3.6</v>
      </c>
      <c r="C21" s="38">
        <v>3.73</v>
      </c>
      <c r="D21" s="38">
        <v>2.58</v>
      </c>
      <c r="E21" s="38">
        <v>2.5</v>
      </c>
      <c r="F21" s="38">
        <v>26.799999999999997</v>
      </c>
      <c r="G21" s="38">
        <v>2.8000000000000003</v>
      </c>
      <c r="H21" s="38">
        <v>3.8</v>
      </c>
      <c r="I21" s="38"/>
      <c r="J21" s="38">
        <f t="shared" si="4"/>
        <v>-22.999999999999996</v>
      </c>
      <c r="K21" s="73">
        <f t="shared" si="5"/>
        <v>-0.85820895522388052</v>
      </c>
      <c r="M21" s="38"/>
      <c r="N21" s="38"/>
    </row>
    <row r="22" spans="1:14" s="8" customFormat="1" ht="12.75" customHeight="1" x14ac:dyDescent="0.25">
      <c r="A22" s="15" t="s">
        <v>62</v>
      </c>
      <c r="B22" s="38">
        <v>-17</v>
      </c>
      <c r="C22" s="38">
        <v>-16.12</v>
      </c>
      <c r="D22" s="38">
        <v>-15.57</v>
      </c>
      <c r="E22" s="38">
        <v>-27.8</v>
      </c>
      <c r="F22" s="38">
        <v>-47.3</v>
      </c>
      <c r="G22" s="38">
        <v>-41</v>
      </c>
      <c r="H22" s="38">
        <v>-22.7</v>
      </c>
      <c r="I22" s="38"/>
      <c r="J22" s="38">
        <f t="shared" si="4"/>
        <v>24.599999999999998</v>
      </c>
      <c r="K22" s="73">
        <f t="shared" si="5"/>
        <v>0.52008456659619451</v>
      </c>
      <c r="M22" s="38"/>
      <c r="N22" s="38"/>
    </row>
    <row r="23" spans="1:14" s="8" customFormat="1" ht="12.75" customHeight="1" x14ac:dyDescent="0.25">
      <c r="A23" s="15" t="s">
        <v>63</v>
      </c>
      <c r="B23" s="38">
        <v>-3.3000000000000003</v>
      </c>
      <c r="C23" s="38">
        <v>-2.76</v>
      </c>
      <c r="D23" s="38">
        <v>-3.19</v>
      </c>
      <c r="E23" s="38">
        <v>-5.2517372699999978</v>
      </c>
      <c r="F23" s="38">
        <v>-8.3000000000000007</v>
      </c>
      <c r="G23" s="38">
        <v>-8.1999999999999993</v>
      </c>
      <c r="H23" s="38">
        <v>-7.4</v>
      </c>
      <c r="I23" s="38"/>
      <c r="J23" s="38">
        <f t="shared" si="4"/>
        <v>0.90000000000000036</v>
      </c>
      <c r="K23" s="73">
        <f t="shared" si="5"/>
        <v>0.10843373493975907</v>
      </c>
      <c r="M23" s="38"/>
      <c r="N23" s="38"/>
    </row>
    <row r="24" spans="1:14" s="8" customFormat="1" ht="12.75" customHeight="1" x14ac:dyDescent="0.25">
      <c r="A24" s="15" t="s">
        <v>64</v>
      </c>
      <c r="B24" s="38">
        <v>0</v>
      </c>
      <c r="C24" s="38">
        <v>0</v>
      </c>
      <c r="D24" s="38">
        <v>0</v>
      </c>
      <c r="E24" s="38">
        <v>0</v>
      </c>
      <c r="F24" s="38">
        <v>0</v>
      </c>
      <c r="G24" s="38">
        <v>0</v>
      </c>
      <c r="H24" s="38">
        <v>0</v>
      </c>
      <c r="I24" s="38"/>
      <c r="J24" s="19">
        <f t="shared" si="4"/>
        <v>0</v>
      </c>
      <c r="K24" s="73" t="str">
        <f t="shared" si="5"/>
        <v xml:space="preserve">n/m </v>
      </c>
      <c r="M24" s="38"/>
      <c r="N24" s="38"/>
    </row>
    <row r="25" spans="1:14" s="8" customFormat="1" ht="12.75" customHeight="1" x14ac:dyDescent="0.25">
      <c r="A25" s="15" t="s">
        <v>113</v>
      </c>
      <c r="B25" s="38">
        <v>0</v>
      </c>
      <c r="C25" s="38">
        <v>0</v>
      </c>
      <c r="D25" s="38">
        <v>0</v>
      </c>
      <c r="E25" s="38">
        <v>0.2</v>
      </c>
      <c r="F25" s="38">
        <v>0</v>
      </c>
      <c r="G25" s="38">
        <v>0</v>
      </c>
      <c r="H25" s="38">
        <v>0</v>
      </c>
      <c r="I25" s="38"/>
      <c r="J25" s="38">
        <f t="shared" si="4"/>
        <v>0</v>
      </c>
      <c r="K25" s="73" t="str">
        <f t="shared" si="5"/>
        <v xml:space="preserve">n/m </v>
      </c>
      <c r="M25" s="38"/>
      <c r="N25" s="38"/>
    </row>
    <row r="26" spans="1:14" s="8" customFormat="1" ht="12.75" customHeight="1" x14ac:dyDescent="0.25">
      <c r="A26" s="15" t="s">
        <v>70</v>
      </c>
      <c r="B26" s="42">
        <v>0</v>
      </c>
      <c r="C26" s="42">
        <v>0</v>
      </c>
      <c r="D26" s="42">
        <v>0</v>
      </c>
      <c r="E26" s="42">
        <v>0.4</v>
      </c>
      <c r="F26" s="42">
        <v>6.8</v>
      </c>
      <c r="G26" s="42">
        <v>7.8999999999999995</v>
      </c>
      <c r="H26" s="42">
        <v>4.7</v>
      </c>
      <c r="I26" s="38"/>
      <c r="J26" s="42">
        <f t="shared" si="4"/>
        <v>-2.0999999999999996</v>
      </c>
      <c r="K26" s="77">
        <f t="shared" si="5"/>
        <v>-0.30882352941176466</v>
      </c>
      <c r="M26" s="38"/>
      <c r="N26" s="38"/>
    </row>
    <row r="27" spans="1:14" s="8" customFormat="1" ht="12.75" customHeight="1" x14ac:dyDescent="0.25">
      <c r="A27" s="12" t="s">
        <v>71</v>
      </c>
      <c r="B27" s="45">
        <f t="shared" ref="B27:H27" si="6">SUM(B20:B26)</f>
        <v>34.600000000000009</v>
      </c>
      <c r="C27" s="45">
        <f t="shared" si="6"/>
        <v>31.85</v>
      </c>
      <c r="D27" s="45">
        <f t="shared" si="6"/>
        <v>30.799999999999994</v>
      </c>
      <c r="E27" s="45">
        <f>SUM(E20:E26)</f>
        <v>46.048262730000005</v>
      </c>
      <c r="F27" s="45">
        <f t="shared" si="6"/>
        <v>123.00000000000001</v>
      </c>
      <c r="G27" s="45">
        <f t="shared" si="6"/>
        <v>120.7</v>
      </c>
      <c r="H27" s="45">
        <f t="shared" si="6"/>
        <v>114</v>
      </c>
      <c r="I27" s="38"/>
      <c r="J27" s="78">
        <f t="shared" si="4"/>
        <v>-9.0000000000000142</v>
      </c>
      <c r="K27" s="79">
        <f t="shared" si="5"/>
        <v>-7.317073170731718E-2</v>
      </c>
    </row>
    <row r="28" spans="1:14" s="8" customFormat="1" ht="12.75" customHeight="1" x14ac:dyDescent="0.25">
      <c r="A28" s="12"/>
      <c r="B28" s="45"/>
      <c r="C28" s="45"/>
      <c r="D28" s="45"/>
      <c r="E28" s="45"/>
      <c r="F28" s="45"/>
      <c r="G28" s="45"/>
      <c r="H28" s="45"/>
      <c r="I28" s="38"/>
      <c r="J28" s="78"/>
      <c r="K28" s="79"/>
    </row>
    <row r="29" spans="1:14" s="8" customFormat="1" ht="12.75" customHeight="1" x14ac:dyDescent="0.25">
      <c r="A29" s="15" t="s">
        <v>114</v>
      </c>
      <c r="B29" s="38">
        <v>-5.2</v>
      </c>
      <c r="C29" s="38">
        <v>-5.34</v>
      </c>
      <c r="D29" s="38">
        <v>-7</v>
      </c>
      <c r="E29" s="38">
        <v>-17.62</v>
      </c>
      <c r="F29" s="38">
        <v>-69.101338069999954</v>
      </c>
      <c r="G29" s="38">
        <v>-68.062165790000051</v>
      </c>
      <c r="H29" s="38">
        <v>-62.3</v>
      </c>
      <c r="I29" s="38"/>
      <c r="J29" s="38">
        <f t="shared" ref="J29:J30" si="7">H29-F29</f>
        <v>6.8013380699999573</v>
      </c>
      <c r="K29" s="73">
        <f>+IF(F29&lt;&gt;0,IF((H29/F29)&lt;0,"n/m ",IF(ABS((J29)/F29)&gt;1,"large ",(J29)/F29*SIGN(F29))),"n/m ")</f>
        <v>9.8425562513857145E-2</v>
      </c>
    </row>
    <row r="30" spans="1:14" s="8" customFormat="1" ht="12.75" customHeight="1" thickBot="1" x14ac:dyDescent="0.3">
      <c r="A30" s="12" t="s">
        <v>115</v>
      </c>
      <c r="B30" s="64">
        <f t="shared" ref="B30:H30" si="8">SUM(B27:B29)</f>
        <v>29.400000000000009</v>
      </c>
      <c r="C30" s="64">
        <f t="shared" si="8"/>
        <v>26.51</v>
      </c>
      <c r="D30" s="64">
        <f t="shared" si="8"/>
        <v>23.799999999999994</v>
      </c>
      <c r="E30" s="64">
        <f t="shared" si="8"/>
        <v>28.428262730000004</v>
      </c>
      <c r="F30" s="64">
        <f t="shared" si="8"/>
        <v>53.89866193000006</v>
      </c>
      <c r="G30" s="64">
        <f t="shared" si="8"/>
        <v>52.637834209999951</v>
      </c>
      <c r="H30" s="64">
        <f t="shared" si="8"/>
        <v>51.7</v>
      </c>
      <c r="I30" s="38"/>
      <c r="J30" s="80">
        <f t="shared" si="7"/>
        <v>-2.1986619300000569</v>
      </c>
      <c r="K30" s="81">
        <f>+IF(F30&lt;&gt;0,IF((H30/F30)&lt;0,"n/m ",IF(ABS((J30)/F30)&gt;1,"large ",(J30)/F30*SIGN(F30))),"n/m ")</f>
        <v>-4.079251416028714E-2</v>
      </c>
    </row>
    <row r="31" spans="1:14" s="3" customFormat="1" ht="12.75" customHeight="1" thickTop="1" x14ac:dyDescent="0.25"/>
    <row r="32" spans="1:14" customFormat="1" ht="12.75" customHeight="1" x14ac:dyDescent="0.25"/>
    <row r="33" spans="7:7" customFormat="1" ht="12.75" customHeight="1" x14ac:dyDescent="0.25"/>
    <row r="34" spans="7:7" customFormat="1" ht="12.75" customHeight="1" x14ac:dyDescent="0.25"/>
    <row r="35" spans="7:7" customFormat="1" ht="12.75" customHeight="1" x14ac:dyDescent="0.25"/>
    <row r="36" spans="7:7" customFormat="1" ht="12.75" customHeight="1" x14ac:dyDescent="0.25"/>
    <row r="37" spans="7:7" customFormat="1" ht="12.75" customHeight="1" x14ac:dyDescent="0.25"/>
    <row r="38" spans="7:7" customFormat="1" ht="12.75" customHeight="1" x14ac:dyDescent="0.25"/>
    <row r="39" spans="7:7" customFormat="1" ht="12.75" customHeight="1" x14ac:dyDescent="0.25">
      <c r="G39" s="91"/>
    </row>
    <row r="40" spans="7:7" customFormat="1" ht="12.75" customHeight="1" x14ac:dyDescent="0.25">
      <c r="G40" s="91"/>
    </row>
    <row r="41" spans="7:7" customFormat="1" ht="12.75" customHeight="1" x14ac:dyDescent="0.25">
      <c r="G41" s="91"/>
    </row>
    <row r="42" spans="7:7" customFormat="1" ht="12.75" customHeight="1" x14ac:dyDescent="0.25"/>
    <row r="43" spans="7:7" customFormat="1" ht="12.75" customHeight="1" x14ac:dyDescent="0.25"/>
    <row r="44" spans="7:7" customFormat="1" ht="12.75" customHeight="1" x14ac:dyDescent="0.25"/>
    <row r="45" spans="7:7" customFormat="1" ht="12.75" customHeight="1" x14ac:dyDescent="0.25"/>
  </sheetData>
  <mergeCells count="4">
    <mergeCell ref="A4:K4"/>
    <mergeCell ref="J5:K5"/>
    <mergeCell ref="A16:K16"/>
    <mergeCell ref="J17:K17"/>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rowBreaks count="1" manualBreakCount="1">
    <brk id="3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2FC71-8FE5-4B8C-BBAB-9D327641665A}">
  <sheetPr>
    <pageSetUpPr fitToPage="1"/>
  </sheetPr>
  <dimension ref="A1:M32"/>
  <sheetViews>
    <sheetView showGridLines="0" zoomScaleNormal="100" zoomScaleSheetLayoutView="100" workbookViewId="0"/>
  </sheetViews>
  <sheetFormatPr defaultColWidth="9.140625" defaultRowHeight="12.75" customHeight="1" x14ac:dyDescent="0.2"/>
  <cols>
    <col min="1" max="1" width="78.7109375" style="10" customWidth="1"/>
    <col min="2" max="8" width="9.5703125" style="10" customWidth="1"/>
    <col min="9" max="9" width="2.5703125" style="10" customWidth="1"/>
    <col min="10" max="11" width="9.5703125" style="10" customWidth="1"/>
    <col min="12" max="12" width="6.140625" style="10" customWidth="1"/>
    <col min="13" max="13" width="9.140625" style="10"/>
    <col min="14" max="14" width="27.140625" style="10" bestFit="1" customWidth="1"/>
    <col min="15" max="16384" width="9.140625" style="10"/>
  </cols>
  <sheetData>
    <row r="1" spans="1:13" s="3" customFormat="1" ht="27.95" customHeight="1" x14ac:dyDescent="0.25">
      <c r="A1" s="1" t="s">
        <v>0</v>
      </c>
      <c r="B1" s="2"/>
      <c r="C1" s="2"/>
      <c r="D1" s="2"/>
      <c r="E1" s="2"/>
      <c r="F1" s="2"/>
      <c r="G1" s="2"/>
      <c r="H1" s="2"/>
      <c r="I1" s="2"/>
      <c r="J1" s="2"/>
      <c r="K1" s="2"/>
      <c r="L1" s="2"/>
    </row>
    <row r="3" spans="1:13" ht="18" customHeight="1" x14ac:dyDescent="0.25">
      <c r="A3" s="69" t="s">
        <v>127</v>
      </c>
      <c r="B3" s="70"/>
      <c r="C3" s="70"/>
      <c r="D3" s="70"/>
      <c r="E3" s="70"/>
      <c r="F3" s="70"/>
      <c r="G3" s="70"/>
      <c r="H3" s="70"/>
      <c r="I3" s="70"/>
      <c r="J3" s="70"/>
      <c r="K3" s="70"/>
      <c r="L3" s="70"/>
    </row>
    <row r="4" spans="1:13" s="8" customFormat="1" ht="12.75" customHeight="1" x14ac:dyDescent="0.25">
      <c r="A4" s="187" t="s">
        <v>108</v>
      </c>
      <c r="B4" s="187"/>
      <c r="C4" s="187"/>
      <c r="D4" s="187"/>
      <c r="E4" s="187"/>
      <c r="F4" s="187"/>
      <c r="G4" s="187"/>
      <c r="H4" s="187"/>
      <c r="I4" s="187"/>
      <c r="J4" s="187"/>
      <c r="K4" s="187"/>
    </row>
    <row r="5" spans="1:13" s="8" customFormat="1" ht="12.75" customHeight="1" x14ac:dyDescent="0.25">
      <c r="B5" s="13" t="s">
        <v>6</v>
      </c>
      <c r="C5" s="13" t="s">
        <v>7</v>
      </c>
      <c r="D5" s="13" t="s">
        <v>8</v>
      </c>
      <c r="E5" s="13" t="s">
        <v>9</v>
      </c>
      <c r="F5" s="13" t="s">
        <v>10</v>
      </c>
      <c r="G5" s="13" t="s">
        <v>11</v>
      </c>
      <c r="H5" s="13" t="s">
        <v>12</v>
      </c>
      <c r="J5" s="185" t="s">
        <v>13</v>
      </c>
      <c r="K5" s="185"/>
    </row>
    <row r="6" spans="1:13" s="8" customFormat="1" ht="12.75" customHeight="1" thickBot="1" x14ac:dyDescent="0.3">
      <c r="B6" s="11" t="s">
        <v>48</v>
      </c>
      <c r="C6" s="11" t="s">
        <v>48</v>
      </c>
      <c r="D6" s="11" t="s">
        <v>48</v>
      </c>
      <c r="E6" s="11" t="s">
        <v>48</v>
      </c>
      <c r="F6" s="11" t="s">
        <v>48</v>
      </c>
      <c r="G6" s="11" t="s">
        <v>48</v>
      </c>
      <c r="H6" s="11" t="s">
        <v>48</v>
      </c>
      <c r="J6" s="11" t="s">
        <v>48</v>
      </c>
      <c r="K6" s="11" t="s">
        <v>49</v>
      </c>
    </row>
    <row r="7" spans="1:13" s="8" customFormat="1" ht="12.75" customHeight="1" x14ac:dyDescent="0.25">
      <c r="A7" s="12" t="s">
        <v>52</v>
      </c>
    </row>
    <row r="8" spans="1:13" s="8" customFormat="1" ht="12.75" customHeight="1" x14ac:dyDescent="0.25">
      <c r="A8" s="15" t="s">
        <v>60</v>
      </c>
      <c r="B8" s="38">
        <v>0</v>
      </c>
      <c r="C8" s="38">
        <v>0</v>
      </c>
      <c r="D8" s="38">
        <v>0</v>
      </c>
      <c r="E8" s="38">
        <v>-0.2</v>
      </c>
      <c r="F8" s="38">
        <v>0.1</v>
      </c>
      <c r="G8" s="38">
        <v>0</v>
      </c>
      <c r="H8" s="38">
        <v>0</v>
      </c>
      <c r="I8" s="38"/>
      <c r="J8" s="38">
        <f t="shared" ref="J8:J15" si="0">H8-F8</f>
        <v>-0.1</v>
      </c>
      <c r="K8" s="20">
        <f t="shared" ref="K8:K15" si="1">+IF(F8&lt;&gt;0,IF((H8/F8)&lt;0,"n/m ",IF(ABS((J8)/F8)&gt;1,"large ",(J8)/F8*SIGN(F8))),"n/m ")</f>
        <v>-1</v>
      </c>
      <c r="M8" s="26"/>
    </row>
    <row r="9" spans="1:13" s="8" customFormat="1" ht="12.75" customHeight="1" x14ac:dyDescent="0.25">
      <c r="A9" s="15" t="s">
        <v>61</v>
      </c>
      <c r="B9" s="38">
        <v>0.37</v>
      </c>
      <c r="C9" s="38">
        <v>0.53</v>
      </c>
      <c r="D9" s="38">
        <v>0.6</v>
      </c>
      <c r="E9" s="38">
        <v>0.56999999999999995</v>
      </c>
      <c r="F9" s="38">
        <v>0</v>
      </c>
      <c r="G9" s="38">
        <v>0</v>
      </c>
      <c r="H9" s="38">
        <v>0</v>
      </c>
      <c r="I9" s="38"/>
      <c r="J9" s="38">
        <f t="shared" si="0"/>
        <v>0</v>
      </c>
      <c r="K9" s="92" t="str">
        <f t="shared" si="1"/>
        <v xml:space="preserve">n/m </v>
      </c>
    </row>
    <row r="10" spans="1:13" s="8" customFormat="1" ht="12.75" customHeight="1" x14ac:dyDescent="0.25">
      <c r="A10" s="15" t="s">
        <v>62</v>
      </c>
      <c r="B10" s="38">
        <v>0</v>
      </c>
      <c r="C10" s="38">
        <v>0</v>
      </c>
      <c r="D10" s="38">
        <v>0.1</v>
      </c>
      <c r="E10" s="38">
        <v>0.5</v>
      </c>
      <c r="F10" s="38">
        <v>0</v>
      </c>
      <c r="G10" s="38">
        <v>0</v>
      </c>
      <c r="H10" s="38">
        <v>0</v>
      </c>
      <c r="I10" s="38"/>
      <c r="J10" s="38">
        <f t="shared" si="0"/>
        <v>0</v>
      </c>
      <c r="K10" s="92" t="str">
        <f t="shared" si="1"/>
        <v xml:space="preserve">n/m </v>
      </c>
    </row>
    <row r="11" spans="1:13" s="8" customFormat="1" ht="12.75" customHeight="1" x14ac:dyDescent="0.25">
      <c r="A11" s="15" t="s">
        <v>63</v>
      </c>
      <c r="B11" s="38">
        <v>0</v>
      </c>
      <c r="C11" s="38">
        <v>0</v>
      </c>
      <c r="D11" s="38">
        <v>0</v>
      </c>
      <c r="E11" s="38">
        <v>-0.1</v>
      </c>
      <c r="F11" s="38">
        <v>-0.2</v>
      </c>
      <c r="G11" s="38">
        <v>0.2</v>
      </c>
      <c r="H11" s="38">
        <v>-0.3</v>
      </c>
      <c r="I11" s="38"/>
      <c r="J11" s="38">
        <f t="shared" si="0"/>
        <v>-9.9999999999999978E-2</v>
      </c>
      <c r="K11" s="92">
        <f t="shared" si="1"/>
        <v>-0.49999999999999989</v>
      </c>
    </row>
    <row r="12" spans="1:13" s="8" customFormat="1" ht="12.75" customHeight="1" x14ac:dyDescent="0.25">
      <c r="A12" s="15" t="s">
        <v>64</v>
      </c>
      <c r="B12" s="38">
        <v>0</v>
      </c>
      <c r="C12" s="38">
        <v>0</v>
      </c>
      <c r="D12" s="38">
        <v>0</v>
      </c>
      <c r="E12" s="38">
        <v>0</v>
      </c>
      <c r="F12" s="38">
        <v>0</v>
      </c>
      <c r="G12" s="38">
        <v>0</v>
      </c>
      <c r="H12" s="38">
        <v>0</v>
      </c>
      <c r="I12" s="38"/>
      <c r="J12" s="19">
        <f t="shared" si="0"/>
        <v>0</v>
      </c>
      <c r="K12" s="92" t="str">
        <f t="shared" si="1"/>
        <v xml:space="preserve">n/m </v>
      </c>
    </row>
    <row r="13" spans="1:13" s="8" customFormat="1" ht="12.75" customHeight="1" x14ac:dyDescent="0.25">
      <c r="A13" s="15" t="s">
        <v>113</v>
      </c>
      <c r="B13" s="38">
        <v>1.27</v>
      </c>
      <c r="C13" s="38">
        <v>1.1299999999999999</v>
      </c>
      <c r="D13" s="38">
        <v>0.4</v>
      </c>
      <c r="E13" s="38">
        <v>0.78</v>
      </c>
      <c r="F13" s="38">
        <v>0.6</v>
      </c>
      <c r="G13" s="38">
        <v>0.29999999999999993</v>
      </c>
      <c r="H13" s="38">
        <v>0.3</v>
      </c>
      <c r="I13" s="38"/>
      <c r="J13" s="38">
        <f t="shared" si="0"/>
        <v>-0.3</v>
      </c>
      <c r="K13" s="92">
        <f t="shared" si="1"/>
        <v>-0.5</v>
      </c>
    </row>
    <row r="14" spans="1:13" s="8" customFormat="1" ht="12.75" customHeight="1" x14ac:dyDescent="0.25">
      <c r="A14" s="15" t="s">
        <v>70</v>
      </c>
      <c r="B14" s="42">
        <v>0</v>
      </c>
      <c r="C14" s="42">
        <v>0</v>
      </c>
      <c r="D14" s="42">
        <v>0</v>
      </c>
      <c r="E14" s="42">
        <v>0</v>
      </c>
      <c r="F14" s="42">
        <v>0</v>
      </c>
      <c r="G14" s="42">
        <v>0</v>
      </c>
      <c r="H14" s="42">
        <v>0</v>
      </c>
      <c r="I14" s="38"/>
      <c r="J14" s="42">
        <f t="shared" si="0"/>
        <v>0</v>
      </c>
      <c r="K14" s="93" t="str">
        <f t="shared" si="1"/>
        <v xml:space="preserve">n/m </v>
      </c>
    </row>
    <row r="15" spans="1:13" s="8" customFormat="1" ht="12.75" customHeight="1" x14ac:dyDescent="0.25">
      <c r="A15" s="12" t="s">
        <v>71</v>
      </c>
      <c r="B15" s="45">
        <f t="shared" ref="B15:D15" si="2">SUM(B8:B14)</f>
        <v>1.6400000000000001</v>
      </c>
      <c r="C15" s="45">
        <f t="shared" si="2"/>
        <v>1.66</v>
      </c>
      <c r="D15" s="45">
        <f t="shared" si="2"/>
        <v>1.1000000000000001</v>
      </c>
      <c r="E15" s="45">
        <f>SUM(E8:E14)</f>
        <v>1.5499999999999998</v>
      </c>
      <c r="F15" s="45">
        <f>SUM(F8:F14)</f>
        <v>0.5</v>
      </c>
      <c r="G15" s="45">
        <f>SUM(G8:G14)</f>
        <v>0.49999999999999994</v>
      </c>
      <c r="H15" s="45">
        <f>SUM(H8:H14)</f>
        <v>0</v>
      </c>
      <c r="I15" s="45"/>
      <c r="J15" s="78">
        <f t="shared" si="0"/>
        <v>-0.5</v>
      </c>
      <c r="K15" s="78">
        <f t="shared" si="1"/>
        <v>-1</v>
      </c>
    </row>
    <row r="16" spans="1:13" s="8" customFormat="1" ht="12.75" customHeight="1" x14ac:dyDescent="0.25">
      <c r="A16" s="12"/>
      <c r="B16" s="45"/>
      <c r="C16" s="45"/>
      <c r="D16" s="45"/>
      <c r="E16" s="45"/>
      <c r="F16" s="45"/>
      <c r="G16" s="45"/>
      <c r="H16" s="45"/>
      <c r="I16" s="45"/>
      <c r="J16" s="78"/>
      <c r="K16" s="79"/>
    </row>
    <row r="17" spans="1:11" s="8" customFormat="1" ht="12.75" customHeight="1" x14ac:dyDescent="0.25">
      <c r="A17" s="15" t="s">
        <v>114</v>
      </c>
      <c r="B17" s="38">
        <v>-20.99</v>
      </c>
      <c r="C17" s="38">
        <v>-20.38</v>
      </c>
      <c r="D17" s="38">
        <v>-21.5</v>
      </c>
      <c r="E17" s="38">
        <v>-19.09</v>
      </c>
      <c r="F17" s="38">
        <v>-33.799999999999997</v>
      </c>
      <c r="G17" s="38">
        <v>-30.655194620000003</v>
      </c>
      <c r="H17" s="38">
        <v>-31.8</v>
      </c>
      <c r="I17" s="38"/>
      <c r="J17" s="38">
        <f>H17-F17</f>
        <v>1.9999999999999964</v>
      </c>
      <c r="K17" s="73">
        <f>+IF(F17&lt;&gt;0,IF((H17/F17)&lt;0,"n/m ",IF(ABS((J17)/F17)&gt;1,"large ",(J17)/F17*SIGN(F17))),"n/m ")</f>
        <v>5.9171597633135994E-2</v>
      </c>
    </row>
    <row r="18" spans="1:11" s="8" customFormat="1" ht="12.75" customHeight="1" thickBot="1" x14ac:dyDescent="0.3">
      <c r="A18" s="12" t="s">
        <v>115</v>
      </c>
      <c r="B18" s="64">
        <f t="shared" ref="B18:D18" si="3">SUM(B15:B17)</f>
        <v>-19.349999999999998</v>
      </c>
      <c r="C18" s="64">
        <f t="shared" si="3"/>
        <v>-18.72</v>
      </c>
      <c r="D18" s="64">
        <f t="shared" si="3"/>
        <v>-20.399999999999999</v>
      </c>
      <c r="E18" s="64">
        <v>-17.600000000000001</v>
      </c>
      <c r="F18" s="64">
        <f>SUM(F15:F17)</f>
        <v>-33.299999999999997</v>
      </c>
      <c r="G18" s="64">
        <f>SUM(G15:G17)</f>
        <v>-30.155194620000003</v>
      </c>
      <c r="H18" s="64">
        <f>SUM(H15:H17)</f>
        <v>-31.8</v>
      </c>
      <c r="I18" s="45"/>
      <c r="J18" s="80">
        <f>H18-F18</f>
        <v>1.4999999999999964</v>
      </c>
      <c r="K18" s="81">
        <f>+IF(F18&lt;&gt;0,IF((H18/F18)&lt;0,"n/m ",IF(ABS((J18)/F18)&gt;1,"large ",(J18)/F18*SIGN(F18))),"n/m ")</f>
        <v>4.5045045045044939E-2</v>
      </c>
    </row>
    <row r="19" spans="1:11" s="3" customFormat="1" ht="12.75" customHeight="1" thickTop="1" x14ac:dyDescent="0.25"/>
    <row r="20" spans="1:11" customFormat="1" ht="12.75" customHeight="1" x14ac:dyDescent="0.25"/>
    <row r="21" spans="1:11" customFormat="1" ht="12.75" customHeight="1" x14ac:dyDescent="0.25"/>
    <row r="22" spans="1:11" customFormat="1" ht="12.75" customHeight="1" x14ac:dyDescent="0.25">
      <c r="E22" s="94"/>
    </row>
    <row r="23" spans="1:11" customFormat="1" ht="12.75" customHeight="1" x14ac:dyDescent="0.25">
      <c r="E23" s="94"/>
    </row>
    <row r="24" spans="1:11" customFormat="1" ht="12.75" customHeight="1" x14ac:dyDescent="0.25">
      <c r="E24" s="94"/>
    </row>
    <row r="25" spans="1:11" customFormat="1" ht="12.75" customHeight="1" x14ac:dyDescent="0.25">
      <c r="E25" s="94"/>
    </row>
    <row r="26" spans="1:11" customFormat="1" ht="12.75" customHeight="1" x14ac:dyDescent="0.25">
      <c r="E26" s="94"/>
    </row>
    <row r="27" spans="1:11" ht="12.75" customHeight="1" x14ac:dyDescent="0.2">
      <c r="B27" s="95"/>
      <c r="C27" s="95"/>
      <c r="E27" s="96"/>
      <c r="F27" s="95"/>
      <c r="G27" s="95"/>
      <c r="H27" s="95"/>
      <c r="I27" s="95"/>
    </row>
    <row r="28" spans="1:11" ht="12.75" customHeight="1" x14ac:dyDescent="0.2">
      <c r="E28" s="96"/>
    </row>
    <row r="29" spans="1:11" ht="12.75" customHeight="1" x14ac:dyDescent="0.2">
      <c r="E29" s="97"/>
    </row>
    <row r="30" spans="1:11" ht="12.75" customHeight="1" x14ac:dyDescent="0.2">
      <c r="E30" s="96"/>
    </row>
    <row r="31" spans="1:11" ht="12.75" customHeight="1" x14ac:dyDescent="0.2">
      <c r="E31" s="97"/>
    </row>
    <row r="32" spans="1:11" ht="12.75" customHeight="1" x14ac:dyDescent="0.2">
      <c r="E32" s="97"/>
    </row>
  </sheetData>
  <mergeCells count="2">
    <mergeCell ref="A4:K4"/>
    <mergeCell ref="J5:K5"/>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31316-51DC-46BC-A015-45BF4A796788}">
  <sheetPr>
    <pageSetUpPr fitToPage="1"/>
  </sheetPr>
  <dimension ref="A1:M72"/>
  <sheetViews>
    <sheetView showGridLines="0" zoomScaleNormal="100" zoomScaleSheetLayoutView="100" workbookViewId="0"/>
  </sheetViews>
  <sheetFormatPr defaultColWidth="9.140625" defaultRowHeight="12.75" customHeight="1" x14ac:dyDescent="0.2"/>
  <cols>
    <col min="1" max="1" width="78.7109375" style="10" customWidth="1"/>
    <col min="2" max="8" width="9.5703125" style="10" customWidth="1"/>
    <col min="9" max="9" width="2.5703125" style="10" customWidth="1"/>
    <col min="10" max="11" width="9.5703125" style="10" customWidth="1"/>
    <col min="12" max="12" width="6.140625" style="10" customWidth="1"/>
    <col min="13" max="13" width="9.42578125" style="10" bestFit="1" customWidth="1"/>
    <col min="14" max="14" width="30.85546875" style="10" bestFit="1" customWidth="1"/>
    <col min="15" max="16384" width="9.140625" style="10"/>
  </cols>
  <sheetData>
    <row r="1" spans="1:12" s="3" customFormat="1" ht="27.95" customHeight="1" x14ac:dyDescent="0.25">
      <c r="A1" s="1" t="s">
        <v>0</v>
      </c>
      <c r="B1" s="2"/>
      <c r="C1" s="2"/>
      <c r="D1" s="2"/>
      <c r="E1" s="2"/>
      <c r="F1" s="2"/>
      <c r="G1" s="2"/>
      <c r="H1" s="2"/>
      <c r="I1" s="2"/>
      <c r="J1" s="2"/>
      <c r="K1" s="2"/>
      <c r="L1" s="2"/>
    </row>
    <row r="3" spans="1:12" s="3" customFormat="1" ht="18" customHeight="1" x14ac:dyDescent="0.25">
      <c r="A3" s="4" t="s">
        <v>128</v>
      </c>
      <c r="B3" s="5"/>
      <c r="C3" s="5"/>
      <c r="D3" s="5"/>
      <c r="E3" s="5"/>
      <c r="F3" s="5"/>
      <c r="G3" s="5"/>
      <c r="H3" s="5"/>
      <c r="I3" s="5"/>
      <c r="J3" s="5"/>
      <c r="K3" s="5"/>
      <c r="L3" s="5"/>
    </row>
    <row r="4" spans="1:12" s="8" customFormat="1" ht="25.5" customHeight="1" x14ac:dyDescent="0.25">
      <c r="A4" s="184" t="s">
        <v>129</v>
      </c>
      <c r="B4" s="184"/>
      <c r="C4" s="184"/>
      <c r="D4" s="184"/>
      <c r="E4" s="184"/>
      <c r="F4" s="184"/>
      <c r="G4" s="184"/>
      <c r="H4" s="184"/>
      <c r="I4" s="184"/>
      <c r="J4" s="184"/>
      <c r="K4" s="184"/>
    </row>
    <row r="5" spans="1:12" s="8" customFormat="1" ht="12.75" customHeight="1" x14ac:dyDescent="0.25">
      <c r="B5" s="13" t="s">
        <v>6</v>
      </c>
      <c r="C5" s="13" t="s">
        <v>7</v>
      </c>
      <c r="D5" s="13" t="s">
        <v>8</v>
      </c>
      <c r="E5" s="13" t="s">
        <v>9</v>
      </c>
      <c r="F5" s="13" t="s">
        <v>10</v>
      </c>
      <c r="G5" s="13" t="s">
        <v>11</v>
      </c>
      <c r="H5" s="13" t="s">
        <v>12</v>
      </c>
      <c r="J5" s="185" t="s">
        <v>13</v>
      </c>
      <c r="K5" s="185"/>
    </row>
    <row r="6" spans="1:12" s="8" customFormat="1" ht="12.75" customHeight="1" thickBot="1" x14ac:dyDescent="0.3">
      <c r="B6" s="11" t="s">
        <v>48</v>
      </c>
      <c r="C6" s="11" t="s">
        <v>48</v>
      </c>
      <c r="D6" s="11" t="s">
        <v>48</v>
      </c>
      <c r="E6" s="11" t="s">
        <v>48</v>
      </c>
      <c r="F6" s="11" t="s">
        <v>48</v>
      </c>
      <c r="G6" s="11" t="s">
        <v>48</v>
      </c>
      <c r="H6" s="11" t="s">
        <v>48</v>
      </c>
      <c r="J6" s="11" t="s">
        <v>48</v>
      </c>
      <c r="K6" s="11" t="s">
        <v>49</v>
      </c>
    </row>
    <row r="7" spans="1:12" s="8" customFormat="1" ht="12.75" customHeight="1" x14ac:dyDescent="0.25">
      <c r="A7" s="12" t="s">
        <v>52</v>
      </c>
    </row>
    <row r="8" spans="1:12" s="8" customFormat="1" ht="12.75" customHeight="1" x14ac:dyDescent="0.25">
      <c r="A8" s="15" t="s">
        <v>60</v>
      </c>
      <c r="B8" s="38">
        <v>2.2799999999999998</v>
      </c>
      <c r="C8" s="38">
        <v>1.17</v>
      </c>
      <c r="D8" s="38">
        <v>0</v>
      </c>
      <c r="E8" s="38">
        <v>0</v>
      </c>
      <c r="F8" s="38">
        <v>0</v>
      </c>
      <c r="G8" s="38">
        <v>0</v>
      </c>
      <c r="H8" s="38">
        <v>0</v>
      </c>
      <c r="I8" s="38"/>
      <c r="J8" s="38">
        <f t="shared" ref="J8:J15" si="0">H8-G8</f>
        <v>0</v>
      </c>
      <c r="K8" s="92" t="str">
        <f t="shared" ref="K8:K15" si="1">+IF(G8&lt;&gt;0,IF((H8/G8)&lt;0,"n/m ",IF(ABS((J8)/G8)&gt;1,"large ",(J8)/G8*SIGN(G8))),"n/m ")</f>
        <v xml:space="preserve">n/m </v>
      </c>
    </row>
    <row r="9" spans="1:12" s="8" customFormat="1" ht="12.75" customHeight="1" x14ac:dyDescent="0.25">
      <c r="A9" s="15" t="s">
        <v>61</v>
      </c>
      <c r="B9" s="38">
        <v>0</v>
      </c>
      <c r="C9" s="38">
        <v>0</v>
      </c>
      <c r="D9" s="38">
        <v>0</v>
      </c>
      <c r="E9" s="38">
        <v>0</v>
      </c>
      <c r="F9" s="38">
        <v>0</v>
      </c>
      <c r="G9" s="38">
        <v>0</v>
      </c>
      <c r="H9" s="38">
        <v>0</v>
      </c>
      <c r="I9" s="38"/>
      <c r="J9" s="38">
        <f t="shared" si="0"/>
        <v>0</v>
      </c>
      <c r="K9" s="73" t="str">
        <f t="shared" si="1"/>
        <v xml:space="preserve">n/m </v>
      </c>
    </row>
    <row r="10" spans="1:12" s="8" customFormat="1" ht="12.75" customHeight="1" x14ac:dyDescent="0.25">
      <c r="A10" s="15" t="s">
        <v>62</v>
      </c>
      <c r="B10" s="38">
        <v>-1.36</v>
      </c>
      <c r="C10" s="38">
        <v>-0.72</v>
      </c>
      <c r="D10" s="38">
        <v>0</v>
      </c>
      <c r="E10" s="38">
        <v>0</v>
      </c>
      <c r="F10" s="38">
        <v>0</v>
      </c>
      <c r="G10" s="38">
        <v>0</v>
      </c>
      <c r="H10" s="38">
        <v>0</v>
      </c>
      <c r="I10" s="38"/>
      <c r="J10" s="38">
        <f t="shared" si="0"/>
        <v>0</v>
      </c>
      <c r="K10" s="20" t="str">
        <f t="shared" si="1"/>
        <v xml:space="preserve">n/m </v>
      </c>
    </row>
    <row r="11" spans="1:12" s="8" customFormat="1" ht="12.75" customHeight="1" x14ac:dyDescent="0.25">
      <c r="A11" s="15" t="s">
        <v>63</v>
      </c>
      <c r="B11" s="38">
        <v>-0.01</v>
      </c>
      <c r="C11" s="38">
        <v>-0.01</v>
      </c>
      <c r="D11" s="38">
        <v>0</v>
      </c>
      <c r="E11" s="38">
        <v>0</v>
      </c>
      <c r="F11" s="38">
        <v>0</v>
      </c>
      <c r="G11" s="38">
        <v>0</v>
      </c>
      <c r="H11" s="38">
        <v>0</v>
      </c>
      <c r="I11" s="38"/>
      <c r="J11" s="38">
        <f t="shared" si="0"/>
        <v>0</v>
      </c>
      <c r="K11" s="20" t="str">
        <f t="shared" si="1"/>
        <v xml:space="preserve">n/m </v>
      </c>
    </row>
    <row r="12" spans="1:12" s="8" customFormat="1" ht="12.75" customHeight="1" x14ac:dyDescent="0.25">
      <c r="A12" s="15" t="s">
        <v>64</v>
      </c>
      <c r="B12" s="38">
        <v>0</v>
      </c>
      <c r="C12" s="38">
        <v>0</v>
      </c>
      <c r="D12" s="38">
        <v>0</v>
      </c>
      <c r="E12" s="38">
        <v>0</v>
      </c>
      <c r="F12" s="38">
        <v>0</v>
      </c>
      <c r="G12" s="38">
        <v>0</v>
      </c>
      <c r="H12" s="38">
        <v>0</v>
      </c>
      <c r="I12" s="38"/>
      <c r="J12" s="19">
        <f t="shared" si="0"/>
        <v>0</v>
      </c>
      <c r="K12" s="73" t="str">
        <f t="shared" si="1"/>
        <v xml:space="preserve">n/m </v>
      </c>
    </row>
    <row r="13" spans="1:12" s="8" customFormat="1" ht="12.75" customHeight="1" x14ac:dyDescent="0.25">
      <c r="A13" s="15" t="s">
        <v>113</v>
      </c>
      <c r="B13" s="38">
        <v>-5.7164689999999997E-2</v>
      </c>
      <c r="C13" s="38">
        <v>-3.3085159999999947E-2</v>
      </c>
      <c r="D13" s="38">
        <v>0</v>
      </c>
      <c r="E13" s="38">
        <v>0</v>
      </c>
      <c r="F13" s="38">
        <v>0</v>
      </c>
      <c r="G13" s="38">
        <v>0</v>
      </c>
      <c r="H13" s="38">
        <v>0</v>
      </c>
      <c r="I13" s="38"/>
      <c r="J13" s="38">
        <f t="shared" si="0"/>
        <v>0</v>
      </c>
      <c r="K13" s="73" t="str">
        <f t="shared" si="1"/>
        <v xml:space="preserve">n/m </v>
      </c>
    </row>
    <row r="14" spans="1:12" s="8" customFormat="1" ht="12.75" customHeight="1" x14ac:dyDescent="0.25">
      <c r="A14" s="15" t="s">
        <v>70</v>
      </c>
      <c r="B14" s="42">
        <v>0</v>
      </c>
      <c r="C14" s="42">
        <v>0</v>
      </c>
      <c r="D14" s="42">
        <v>0</v>
      </c>
      <c r="E14" s="42">
        <v>0</v>
      </c>
      <c r="F14" s="42">
        <v>0</v>
      </c>
      <c r="G14" s="42">
        <v>0</v>
      </c>
      <c r="H14" s="42">
        <v>0</v>
      </c>
      <c r="I14" s="38"/>
      <c r="J14" s="98">
        <f t="shared" si="0"/>
        <v>0</v>
      </c>
      <c r="K14" s="77" t="str">
        <f t="shared" si="1"/>
        <v xml:space="preserve">n/m </v>
      </c>
    </row>
    <row r="15" spans="1:12" s="8" customFormat="1" ht="12.75" customHeight="1" x14ac:dyDescent="0.25">
      <c r="A15" s="12" t="s">
        <v>71</v>
      </c>
      <c r="B15" s="45">
        <f t="shared" ref="B15:E15" si="2">SUM(B8:B14)</f>
        <v>0.85283530999999968</v>
      </c>
      <c r="C15" s="45">
        <f t="shared" si="2"/>
        <v>0.40691484</v>
      </c>
      <c r="D15" s="45">
        <f t="shared" si="2"/>
        <v>0</v>
      </c>
      <c r="E15" s="45">
        <f t="shared" si="2"/>
        <v>0</v>
      </c>
      <c r="F15" s="45">
        <f>SUM(F8:F14)</f>
        <v>0</v>
      </c>
      <c r="G15" s="45">
        <f>SUM(G8:G14)</f>
        <v>0</v>
      </c>
      <c r="H15" s="45">
        <f>SUM(H8:H14)</f>
        <v>0</v>
      </c>
      <c r="I15" s="38"/>
      <c r="J15" s="78">
        <f t="shared" si="0"/>
        <v>0</v>
      </c>
      <c r="K15" s="79" t="str">
        <f t="shared" si="1"/>
        <v xml:space="preserve">n/m </v>
      </c>
    </row>
    <row r="16" spans="1:12" s="8" customFormat="1" ht="12.75" customHeight="1" x14ac:dyDescent="0.25">
      <c r="A16" s="12"/>
      <c r="B16" s="45"/>
      <c r="C16" s="45"/>
      <c r="D16" s="45"/>
      <c r="E16" s="45"/>
      <c r="F16" s="45"/>
      <c r="G16" s="45"/>
      <c r="H16" s="45"/>
      <c r="I16" s="38"/>
      <c r="J16" s="78"/>
      <c r="K16" s="79"/>
    </row>
    <row r="17" spans="1:12" s="8" customFormat="1" ht="12.75" customHeight="1" x14ac:dyDescent="0.25">
      <c r="A17" s="15" t="s">
        <v>114</v>
      </c>
      <c r="B17" s="38">
        <v>-0.56000000000000005</v>
      </c>
      <c r="C17" s="38">
        <v>-0.44</v>
      </c>
      <c r="D17" s="38">
        <v>0</v>
      </c>
      <c r="E17" s="38">
        <v>0</v>
      </c>
      <c r="F17" s="38">
        <v>0</v>
      </c>
      <c r="G17" s="38">
        <v>0</v>
      </c>
      <c r="H17" s="38">
        <v>0</v>
      </c>
      <c r="I17" s="38"/>
      <c r="J17" s="38">
        <f t="shared" ref="J17:J18" si="3">H17-G17</f>
        <v>0</v>
      </c>
      <c r="K17" s="73" t="str">
        <f>+IF(G17&lt;&gt;0,IF((H17/G17)&lt;0,"n/m ",IF(ABS((J17)/G17)&gt;1,"large ",(J17)/G17*SIGN(G17))),"n/m ")</f>
        <v xml:space="preserve">n/m </v>
      </c>
    </row>
    <row r="18" spans="1:12" s="8" customFormat="1" ht="12.75" customHeight="1" thickBot="1" x14ac:dyDescent="0.3">
      <c r="A18" s="12" t="s">
        <v>115</v>
      </c>
      <c r="B18" s="64">
        <v>0.29454013999999973</v>
      </c>
      <c r="C18" s="64">
        <v>-0.13440300999999996</v>
      </c>
      <c r="D18" s="64">
        <f>SUM(D15:D17)</f>
        <v>0</v>
      </c>
      <c r="E18" s="64">
        <f>SUM(E15:E17)</f>
        <v>0</v>
      </c>
      <c r="F18" s="64">
        <f>SUM(F15:F17)</f>
        <v>0</v>
      </c>
      <c r="G18" s="64">
        <f>SUM(G15:G17)</f>
        <v>0</v>
      </c>
      <c r="H18" s="64">
        <f>SUM(H15:H17)</f>
        <v>0</v>
      </c>
      <c r="I18" s="38"/>
      <c r="J18" s="80">
        <f t="shared" si="3"/>
        <v>0</v>
      </c>
      <c r="K18" s="81" t="str">
        <f>+IF(G18&lt;&gt;0,IF((H18/G18)&lt;0,"n/m ",IF(ABS((J18)/G18)&gt;1,"large ",(J18)/G18*SIGN(G18))),"n/m ")</f>
        <v xml:space="preserve">n/m </v>
      </c>
    </row>
    <row r="19" spans="1:12" s="3" customFormat="1" ht="12.75" customHeight="1" thickTop="1" x14ac:dyDescent="0.25"/>
    <row r="20" spans="1:12" s="3" customFormat="1" ht="18" customHeight="1" x14ac:dyDescent="0.25">
      <c r="A20" s="4" t="s">
        <v>130</v>
      </c>
      <c r="B20" s="5"/>
      <c r="C20" s="5"/>
      <c r="D20" s="5"/>
      <c r="E20" s="5"/>
      <c r="F20" s="5"/>
      <c r="G20" s="5"/>
      <c r="H20" s="5"/>
      <c r="I20" s="5"/>
      <c r="J20" s="5"/>
      <c r="K20" s="5"/>
      <c r="L20" s="5"/>
    </row>
    <row r="21" spans="1:12" s="8" customFormat="1" ht="25.5" customHeight="1" x14ac:dyDescent="0.25">
      <c r="A21" s="184" t="s">
        <v>131</v>
      </c>
      <c r="B21" s="184"/>
      <c r="C21" s="184"/>
      <c r="D21" s="184"/>
      <c r="E21" s="184"/>
      <c r="F21" s="184"/>
      <c r="G21" s="184"/>
      <c r="H21" s="184"/>
      <c r="I21" s="184"/>
      <c r="J21" s="184"/>
      <c r="K21" s="184"/>
    </row>
    <row r="22" spans="1:12" s="8" customFormat="1" ht="12.75" customHeight="1" x14ac:dyDescent="0.25">
      <c r="B22" s="13" t="s">
        <v>6</v>
      </c>
      <c r="C22" s="13" t="s">
        <v>7</v>
      </c>
      <c r="D22" s="13" t="s">
        <v>8</v>
      </c>
      <c r="E22" s="13" t="s">
        <v>9</v>
      </c>
      <c r="F22" s="13" t="s">
        <v>10</v>
      </c>
      <c r="G22" s="13" t="s">
        <v>11</v>
      </c>
      <c r="H22" s="13" t="s">
        <v>12</v>
      </c>
      <c r="J22" s="185" t="s">
        <v>13</v>
      </c>
      <c r="K22" s="185"/>
    </row>
    <row r="23" spans="1:12" s="8" customFormat="1" ht="12.75" customHeight="1" thickBot="1" x14ac:dyDescent="0.3">
      <c r="B23" s="11" t="s">
        <v>48</v>
      </c>
      <c r="C23" s="11" t="s">
        <v>48</v>
      </c>
      <c r="D23" s="11" t="s">
        <v>48</v>
      </c>
      <c r="E23" s="11" t="s">
        <v>48</v>
      </c>
      <c r="F23" s="11" t="s">
        <v>48</v>
      </c>
      <c r="G23" s="11" t="s">
        <v>48</v>
      </c>
      <c r="H23" s="11" t="s">
        <v>48</v>
      </c>
      <c r="J23" s="11" t="s">
        <v>48</v>
      </c>
      <c r="K23" s="11" t="s">
        <v>49</v>
      </c>
    </row>
    <row r="24" spans="1:12" s="8" customFormat="1" ht="12.75" customHeight="1" x14ac:dyDescent="0.25">
      <c r="A24" s="12" t="s">
        <v>52</v>
      </c>
    </row>
    <row r="25" spans="1:12" s="8" customFormat="1" ht="12.75" customHeight="1" x14ac:dyDescent="0.25">
      <c r="A25" s="15" t="s">
        <v>60</v>
      </c>
      <c r="B25" s="38">
        <v>17.68</v>
      </c>
      <c r="C25" s="38">
        <v>0</v>
      </c>
      <c r="D25" s="38">
        <v>0</v>
      </c>
      <c r="E25" s="38">
        <v>0</v>
      </c>
      <c r="F25" s="38">
        <v>0</v>
      </c>
      <c r="G25" s="38">
        <v>0</v>
      </c>
      <c r="H25" s="38">
        <v>0</v>
      </c>
      <c r="I25" s="38"/>
      <c r="J25" s="38">
        <f>H25-G25</f>
        <v>0</v>
      </c>
      <c r="K25" s="92" t="str">
        <f t="shared" ref="K25:K32" si="4">+IF(G25&lt;&gt;0,IF((H25/G25)&lt;0,"n/m ",IF(ABS((J25)/G25)&gt;1,"large ",(J25)/G25*SIGN(G25))),"n/m ")</f>
        <v xml:space="preserve">n/m </v>
      </c>
    </row>
    <row r="26" spans="1:12" s="8" customFormat="1" ht="12.75" customHeight="1" x14ac:dyDescent="0.25">
      <c r="A26" s="15" t="s">
        <v>61</v>
      </c>
      <c r="B26" s="38">
        <v>0</v>
      </c>
      <c r="C26" s="38">
        <v>0</v>
      </c>
      <c r="D26" s="38">
        <v>0</v>
      </c>
      <c r="E26" s="38">
        <v>0</v>
      </c>
      <c r="F26" s="38">
        <v>0</v>
      </c>
      <c r="G26" s="38">
        <v>0</v>
      </c>
      <c r="H26" s="38">
        <v>0</v>
      </c>
      <c r="I26" s="38"/>
      <c r="J26" s="38">
        <f t="shared" ref="J26:J32" si="5">H26-G26</f>
        <v>0</v>
      </c>
      <c r="K26" s="73" t="str">
        <f t="shared" si="4"/>
        <v xml:space="preserve">n/m </v>
      </c>
    </row>
    <row r="27" spans="1:12" s="8" customFormat="1" ht="12.75" customHeight="1" x14ac:dyDescent="0.25">
      <c r="A27" s="15" t="s">
        <v>62</v>
      </c>
      <c r="B27" s="38">
        <v>-9.56</v>
      </c>
      <c r="C27" s="38">
        <v>0</v>
      </c>
      <c r="D27" s="38">
        <v>0</v>
      </c>
      <c r="E27" s="38">
        <v>0</v>
      </c>
      <c r="F27" s="38">
        <v>0</v>
      </c>
      <c r="G27" s="38">
        <v>0</v>
      </c>
      <c r="H27" s="38">
        <v>0</v>
      </c>
      <c r="I27" s="38"/>
      <c r="J27" s="38">
        <f t="shared" si="5"/>
        <v>0</v>
      </c>
      <c r="K27" s="20" t="str">
        <f t="shared" si="4"/>
        <v xml:space="preserve">n/m </v>
      </c>
    </row>
    <row r="28" spans="1:12" s="8" customFormat="1" ht="12.75" customHeight="1" x14ac:dyDescent="0.25">
      <c r="A28" s="15" t="s">
        <v>63</v>
      </c>
      <c r="B28" s="38">
        <v>-4.9000000000000002E-2</v>
      </c>
      <c r="C28" s="38">
        <v>0</v>
      </c>
      <c r="D28" s="38">
        <v>0</v>
      </c>
      <c r="E28" s="38">
        <v>0</v>
      </c>
      <c r="F28" s="38">
        <v>0</v>
      </c>
      <c r="G28" s="38">
        <v>0</v>
      </c>
      <c r="H28" s="38">
        <v>0</v>
      </c>
      <c r="I28" s="38"/>
      <c r="J28" s="38">
        <f t="shared" si="5"/>
        <v>0</v>
      </c>
      <c r="K28" s="20" t="str">
        <f t="shared" si="4"/>
        <v xml:space="preserve">n/m </v>
      </c>
    </row>
    <row r="29" spans="1:12" s="8" customFormat="1" ht="12.75" customHeight="1" x14ac:dyDescent="0.25">
      <c r="A29" s="15" t="s">
        <v>64</v>
      </c>
      <c r="B29" s="38">
        <v>0</v>
      </c>
      <c r="C29" s="38">
        <v>0</v>
      </c>
      <c r="D29" s="38">
        <v>0</v>
      </c>
      <c r="E29" s="38">
        <v>0</v>
      </c>
      <c r="F29" s="38">
        <v>0</v>
      </c>
      <c r="G29" s="38">
        <v>0</v>
      </c>
      <c r="H29" s="38">
        <v>0</v>
      </c>
      <c r="I29" s="38"/>
      <c r="J29" s="19">
        <f t="shared" si="5"/>
        <v>0</v>
      </c>
      <c r="K29" s="73" t="str">
        <f t="shared" si="4"/>
        <v xml:space="preserve">n/m </v>
      </c>
    </row>
    <row r="30" spans="1:12" s="8" customFormat="1" ht="12.75" customHeight="1" x14ac:dyDescent="0.25">
      <c r="A30" s="15" t="s">
        <v>113</v>
      </c>
      <c r="B30" s="38">
        <v>11.25</v>
      </c>
      <c r="C30" s="38">
        <v>0</v>
      </c>
      <c r="D30" s="38">
        <v>0</v>
      </c>
      <c r="E30" s="38">
        <v>0</v>
      </c>
      <c r="F30" s="38">
        <v>0</v>
      </c>
      <c r="G30" s="38">
        <v>0</v>
      </c>
      <c r="H30" s="38">
        <v>0</v>
      </c>
      <c r="I30" s="38"/>
      <c r="J30" s="38">
        <f t="shared" si="5"/>
        <v>0</v>
      </c>
      <c r="K30" s="73" t="str">
        <f t="shared" si="4"/>
        <v xml:space="preserve">n/m </v>
      </c>
    </row>
    <row r="31" spans="1:12" s="8" customFormat="1" ht="12.75" customHeight="1" x14ac:dyDescent="0.25">
      <c r="A31" s="15" t="s">
        <v>70</v>
      </c>
      <c r="B31" s="42">
        <v>0</v>
      </c>
      <c r="C31" s="42">
        <v>0</v>
      </c>
      <c r="D31" s="42">
        <v>0</v>
      </c>
      <c r="E31" s="42">
        <v>0</v>
      </c>
      <c r="F31" s="42">
        <v>0</v>
      </c>
      <c r="G31" s="42">
        <v>0</v>
      </c>
      <c r="H31" s="42">
        <v>0</v>
      </c>
      <c r="I31" s="38"/>
      <c r="J31" s="98">
        <f t="shared" si="5"/>
        <v>0</v>
      </c>
      <c r="K31" s="77" t="str">
        <f t="shared" si="4"/>
        <v xml:space="preserve">n/m </v>
      </c>
    </row>
    <row r="32" spans="1:12" s="8" customFormat="1" ht="12.75" customHeight="1" x14ac:dyDescent="0.25">
      <c r="A32" s="12" t="s">
        <v>71</v>
      </c>
      <c r="B32" s="45">
        <f>SUM(B25:B31)</f>
        <v>19.320999999999998</v>
      </c>
      <c r="C32" s="45">
        <f t="shared" ref="C32:H32" si="6">SUM(C25:C31)</f>
        <v>0</v>
      </c>
      <c r="D32" s="45">
        <f t="shared" si="6"/>
        <v>0</v>
      </c>
      <c r="E32" s="45">
        <f t="shared" si="6"/>
        <v>0</v>
      </c>
      <c r="F32" s="45">
        <f t="shared" si="6"/>
        <v>0</v>
      </c>
      <c r="G32" s="45">
        <f t="shared" si="6"/>
        <v>0</v>
      </c>
      <c r="H32" s="45">
        <f t="shared" si="6"/>
        <v>0</v>
      </c>
      <c r="I32" s="38"/>
      <c r="J32" s="78">
        <f t="shared" si="5"/>
        <v>0</v>
      </c>
      <c r="K32" s="79" t="str">
        <f t="shared" si="4"/>
        <v xml:space="preserve">n/m </v>
      </c>
    </row>
    <row r="33" spans="1:12" s="8" customFormat="1" ht="12.75" customHeight="1" x14ac:dyDescent="0.25">
      <c r="A33" s="12"/>
      <c r="B33" s="45"/>
      <c r="C33" s="45"/>
      <c r="D33" s="45"/>
      <c r="E33" s="45"/>
      <c r="F33" s="45"/>
      <c r="G33" s="45"/>
      <c r="H33" s="45"/>
      <c r="I33" s="38"/>
      <c r="J33" s="78"/>
      <c r="K33" s="79"/>
    </row>
    <row r="34" spans="1:12" s="8" customFormat="1" ht="12.75" customHeight="1" x14ac:dyDescent="0.25">
      <c r="A34" s="15" t="s">
        <v>114</v>
      </c>
      <c r="B34" s="38">
        <v>-10.54</v>
      </c>
      <c r="C34" s="38">
        <v>0</v>
      </c>
      <c r="D34" s="38">
        <v>0</v>
      </c>
      <c r="E34" s="38">
        <v>0</v>
      </c>
      <c r="F34" s="38">
        <v>0</v>
      </c>
      <c r="G34" s="38">
        <v>0</v>
      </c>
      <c r="H34" s="38">
        <v>0</v>
      </c>
      <c r="I34" s="38"/>
      <c r="J34" s="38">
        <f t="shared" ref="J34:J35" si="7">H34-G34</f>
        <v>0</v>
      </c>
      <c r="K34" s="73" t="str">
        <f>+IF(G34&lt;&gt;0,IF((H34/G34)&lt;0,"n/m ",IF(ABS((J34)/G34)&gt;1,"large ",(J34)/G34*SIGN(G34))),"n/m ")</f>
        <v xml:space="preserve">n/m </v>
      </c>
    </row>
    <row r="35" spans="1:12" s="8" customFormat="1" ht="12.75" customHeight="1" thickBot="1" x14ac:dyDescent="0.3">
      <c r="A35" s="12" t="s">
        <v>115</v>
      </c>
      <c r="B35" s="64">
        <f t="shared" ref="B35:F35" si="8">SUM(B32:B34)</f>
        <v>8.7809999999999988</v>
      </c>
      <c r="C35" s="64">
        <f t="shared" si="8"/>
        <v>0</v>
      </c>
      <c r="D35" s="64">
        <f t="shared" si="8"/>
        <v>0</v>
      </c>
      <c r="E35" s="64">
        <f t="shared" si="8"/>
        <v>0</v>
      </c>
      <c r="F35" s="64">
        <f t="shared" si="8"/>
        <v>0</v>
      </c>
      <c r="G35" s="64">
        <f t="shared" ref="G35:H35" si="9">SUM(G32:G34)</f>
        <v>0</v>
      </c>
      <c r="H35" s="64">
        <f t="shared" si="9"/>
        <v>0</v>
      </c>
      <c r="I35" s="38"/>
      <c r="J35" s="80">
        <f t="shared" si="7"/>
        <v>0</v>
      </c>
      <c r="K35" s="81" t="str">
        <f>+IF(G35&lt;&gt;0,IF((H35/G35)&lt;0,"n/m ",IF(ABS((J35)/G35)&gt;1,"large ",(J35)/G35*SIGN(G35))),"n/m ")</f>
        <v xml:space="preserve">n/m </v>
      </c>
    </row>
    <row r="36" spans="1:12" s="3" customFormat="1" ht="12.75" customHeight="1" thickTop="1" x14ac:dyDescent="0.25"/>
    <row r="37" spans="1:12" s="3" customFormat="1" ht="18" customHeight="1" x14ac:dyDescent="0.25">
      <c r="A37" s="4" t="s">
        <v>132</v>
      </c>
      <c r="B37" s="5"/>
      <c r="C37" s="5"/>
      <c r="D37" s="5"/>
      <c r="E37" s="5"/>
      <c r="F37" s="5"/>
      <c r="G37" s="5"/>
      <c r="H37" s="5"/>
      <c r="I37" s="5"/>
      <c r="J37" s="5"/>
      <c r="K37" s="5"/>
      <c r="L37" s="5"/>
    </row>
    <row r="38" spans="1:12" s="6" customFormat="1" ht="25.5" customHeight="1" x14ac:dyDescent="0.2">
      <c r="A38" s="184" t="s">
        <v>133</v>
      </c>
      <c r="B38" s="184"/>
      <c r="C38" s="184"/>
      <c r="D38" s="184"/>
      <c r="E38" s="184"/>
      <c r="F38" s="184"/>
      <c r="G38" s="184"/>
      <c r="H38" s="184"/>
      <c r="I38" s="184"/>
      <c r="J38" s="184"/>
      <c r="K38" s="184"/>
    </row>
    <row r="39" spans="1:12" s="8" customFormat="1" ht="12.75" customHeight="1" x14ac:dyDescent="0.25">
      <c r="B39" s="13" t="s">
        <v>6</v>
      </c>
      <c r="C39" s="13" t="s">
        <v>7</v>
      </c>
      <c r="D39" s="13" t="s">
        <v>8</v>
      </c>
      <c r="E39" s="13" t="s">
        <v>9</v>
      </c>
      <c r="F39" s="13" t="s">
        <v>10</v>
      </c>
      <c r="G39" s="13" t="s">
        <v>11</v>
      </c>
      <c r="H39" s="13" t="s">
        <v>12</v>
      </c>
      <c r="J39" s="185" t="s">
        <v>13</v>
      </c>
      <c r="K39" s="185"/>
    </row>
    <row r="40" spans="1:12" s="8" customFormat="1" ht="12.75" customHeight="1" thickBot="1" x14ac:dyDescent="0.3">
      <c r="B40" s="11" t="s">
        <v>48</v>
      </c>
      <c r="C40" s="11" t="s">
        <v>48</v>
      </c>
      <c r="D40" s="11" t="s">
        <v>48</v>
      </c>
      <c r="E40" s="11" t="s">
        <v>48</v>
      </c>
      <c r="F40" s="11" t="s">
        <v>48</v>
      </c>
      <c r="G40" s="11" t="s">
        <v>48</v>
      </c>
      <c r="H40" s="11" t="s">
        <v>48</v>
      </c>
      <c r="J40" s="11" t="s">
        <v>48</v>
      </c>
      <c r="K40" s="11" t="s">
        <v>49</v>
      </c>
    </row>
    <row r="41" spans="1:12" s="8" customFormat="1" ht="12.75" customHeight="1" x14ac:dyDescent="0.25">
      <c r="A41" s="12" t="s">
        <v>52</v>
      </c>
    </row>
    <row r="42" spans="1:12" s="8" customFormat="1" ht="12.75" customHeight="1" x14ac:dyDescent="0.25">
      <c r="A42" s="15" t="s">
        <v>60</v>
      </c>
      <c r="B42" s="38">
        <v>0</v>
      </c>
      <c r="C42" s="38">
        <v>0</v>
      </c>
      <c r="D42" s="38">
        <v>0</v>
      </c>
      <c r="E42" s="38">
        <v>0</v>
      </c>
      <c r="F42" s="38">
        <v>0</v>
      </c>
      <c r="G42" s="38">
        <v>0</v>
      </c>
      <c r="H42" s="38">
        <v>0</v>
      </c>
      <c r="I42" s="38"/>
      <c r="J42" s="38">
        <f t="shared" ref="J42:J49" si="10">H42-G42</f>
        <v>0</v>
      </c>
      <c r="K42" s="92" t="str">
        <f t="shared" ref="K42:K49" si="11">+IF(G42&lt;&gt;0,IF((H42/G42)&lt;0,"n/m ",IF(ABS((J42)/G42)&gt;1,"large ",(J42)/G42*SIGN(G42))),"n/m ")</f>
        <v xml:space="preserve">n/m </v>
      </c>
    </row>
    <row r="43" spans="1:12" s="8" customFormat="1" ht="12.75" customHeight="1" x14ac:dyDescent="0.25">
      <c r="A43" s="15" t="s">
        <v>61</v>
      </c>
      <c r="B43" s="38">
        <v>0</v>
      </c>
      <c r="C43" s="38">
        <v>0</v>
      </c>
      <c r="D43" s="38">
        <v>0</v>
      </c>
      <c r="E43" s="38">
        <v>0</v>
      </c>
      <c r="F43" s="38">
        <v>0</v>
      </c>
      <c r="G43" s="38">
        <v>0</v>
      </c>
      <c r="H43" s="38">
        <v>0</v>
      </c>
      <c r="I43" s="38"/>
      <c r="J43" s="38">
        <f t="shared" si="10"/>
        <v>0</v>
      </c>
      <c r="K43" s="73" t="str">
        <f t="shared" si="11"/>
        <v xml:space="preserve">n/m </v>
      </c>
    </row>
    <row r="44" spans="1:12" s="8" customFormat="1" ht="12.75" customHeight="1" x14ac:dyDescent="0.25">
      <c r="A44" s="15" t="s">
        <v>62</v>
      </c>
      <c r="B44" s="38">
        <v>0</v>
      </c>
      <c r="C44" s="38">
        <v>0</v>
      </c>
      <c r="D44" s="38">
        <v>0</v>
      </c>
      <c r="E44" s="38">
        <v>0</v>
      </c>
      <c r="F44" s="38">
        <v>0</v>
      </c>
      <c r="G44" s="38">
        <v>0</v>
      </c>
      <c r="H44" s="38">
        <v>0</v>
      </c>
      <c r="I44" s="38"/>
      <c r="J44" s="38">
        <f t="shared" si="10"/>
        <v>0</v>
      </c>
      <c r="K44" s="20" t="str">
        <f t="shared" si="11"/>
        <v xml:space="preserve">n/m </v>
      </c>
    </row>
    <row r="45" spans="1:12" s="8" customFormat="1" ht="12.75" customHeight="1" x14ac:dyDescent="0.25">
      <c r="A45" s="15" t="s">
        <v>63</v>
      </c>
      <c r="B45" s="38">
        <v>0</v>
      </c>
      <c r="C45" s="38">
        <v>0</v>
      </c>
      <c r="D45" s="38">
        <v>0</v>
      </c>
      <c r="E45" s="38">
        <v>0</v>
      </c>
      <c r="F45" s="38">
        <v>0</v>
      </c>
      <c r="G45" s="38">
        <v>0</v>
      </c>
      <c r="H45" s="38">
        <v>0</v>
      </c>
      <c r="I45" s="38"/>
      <c r="J45" s="38">
        <f t="shared" si="10"/>
        <v>0</v>
      </c>
      <c r="K45" s="20" t="str">
        <f t="shared" si="11"/>
        <v xml:space="preserve">n/m </v>
      </c>
    </row>
    <row r="46" spans="1:12" s="8" customFormat="1" ht="12.75" customHeight="1" x14ac:dyDescent="0.25">
      <c r="A46" s="15" t="s">
        <v>64</v>
      </c>
      <c r="B46" s="38">
        <v>0</v>
      </c>
      <c r="C46" s="38">
        <v>0</v>
      </c>
      <c r="D46" s="38">
        <v>0</v>
      </c>
      <c r="E46" s="38">
        <v>0</v>
      </c>
      <c r="F46" s="38">
        <v>0</v>
      </c>
      <c r="G46" s="38">
        <v>0</v>
      </c>
      <c r="H46" s="38">
        <v>0</v>
      </c>
      <c r="I46" s="38"/>
      <c r="J46" s="19">
        <f t="shared" si="10"/>
        <v>0</v>
      </c>
      <c r="K46" s="73" t="str">
        <f t="shared" si="11"/>
        <v xml:space="preserve">n/m </v>
      </c>
    </row>
    <row r="47" spans="1:12" s="8" customFormat="1" ht="12.75" customHeight="1" x14ac:dyDescent="0.25">
      <c r="A47" s="15" t="s">
        <v>113</v>
      </c>
      <c r="B47" s="38">
        <v>0</v>
      </c>
      <c r="C47" s="38">
        <v>0</v>
      </c>
      <c r="D47" s="38">
        <v>0</v>
      </c>
      <c r="E47" s="38">
        <v>0</v>
      </c>
      <c r="F47" s="38">
        <v>0</v>
      </c>
      <c r="G47" s="38">
        <v>0</v>
      </c>
      <c r="H47" s="38">
        <v>0</v>
      </c>
      <c r="I47" s="38"/>
      <c r="J47" s="38">
        <f t="shared" si="10"/>
        <v>0</v>
      </c>
      <c r="K47" s="73" t="str">
        <f t="shared" si="11"/>
        <v xml:space="preserve">n/m </v>
      </c>
    </row>
    <row r="48" spans="1:12" s="8" customFormat="1" ht="12.75" customHeight="1" x14ac:dyDescent="0.25">
      <c r="A48" s="15" t="s">
        <v>70</v>
      </c>
      <c r="B48" s="42">
        <v>1.043248</v>
      </c>
      <c r="C48" s="42">
        <v>0</v>
      </c>
      <c r="D48" s="42">
        <v>0</v>
      </c>
      <c r="E48" s="42">
        <v>0</v>
      </c>
      <c r="F48" s="42">
        <v>0</v>
      </c>
      <c r="G48" s="42">
        <v>0</v>
      </c>
      <c r="H48" s="42">
        <v>0</v>
      </c>
      <c r="I48" s="38"/>
      <c r="J48" s="98">
        <f t="shared" si="10"/>
        <v>0</v>
      </c>
      <c r="K48" s="77" t="str">
        <f t="shared" si="11"/>
        <v xml:space="preserve">n/m </v>
      </c>
    </row>
    <row r="49" spans="1:12" s="8" customFormat="1" ht="12.75" customHeight="1" x14ac:dyDescent="0.25">
      <c r="A49" s="12" t="s">
        <v>71</v>
      </c>
      <c r="B49" s="45">
        <f t="shared" ref="B49:H49" si="12">SUM(B42:B48)</f>
        <v>1.043248</v>
      </c>
      <c r="C49" s="45">
        <f t="shared" si="12"/>
        <v>0</v>
      </c>
      <c r="D49" s="45">
        <f t="shared" si="12"/>
        <v>0</v>
      </c>
      <c r="E49" s="45">
        <f t="shared" si="12"/>
        <v>0</v>
      </c>
      <c r="F49" s="45">
        <f t="shared" si="12"/>
        <v>0</v>
      </c>
      <c r="G49" s="45">
        <f t="shared" si="12"/>
        <v>0</v>
      </c>
      <c r="H49" s="45">
        <f t="shared" si="12"/>
        <v>0</v>
      </c>
      <c r="I49" s="38"/>
      <c r="J49" s="78">
        <f t="shared" si="10"/>
        <v>0</v>
      </c>
      <c r="K49" s="79" t="str">
        <f t="shared" si="11"/>
        <v xml:space="preserve">n/m </v>
      </c>
    </row>
    <row r="50" spans="1:12" s="8" customFormat="1" ht="12.75" customHeight="1" x14ac:dyDescent="0.25">
      <c r="A50" s="12"/>
      <c r="B50" s="45"/>
      <c r="C50" s="45"/>
      <c r="D50" s="45"/>
      <c r="E50" s="45"/>
      <c r="F50" s="45"/>
      <c r="G50" s="45"/>
      <c r="H50" s="45"/>
      <c r="I50" s="38"/>
      <c r="J50" s="78"/>
      <c r="K50" s="79"/>
    </row>
    <row r="51" spans="1:12" s="8" customFormat="1" ht="12.75" customHeight="1" x14ac:dyDescent="0.25">
      <c r="A51" s="15" t="s">
        <v>114</v>
      </c>
      <c r="B51" s="38">
        <v>0</v>
      </c>
      <c r="C51" s="38">
        <v>0</v>
      </c>
      <c r="D51" s="38">
        <v>0</v>
      </c>
      <c r="E51" s="38">
        <v>0</v>
      </c>
      <c r="F51" s="38">
        <v>0</v>
      </c>
      <c r="G51" s="38">
        <v>0</v>
      </c>
      <c r="H51" s="38">
        <v>0</v>
      </c>
      <c r="I51" s="38"/>
      <c r="J51" s="38">
        <f t="shared" ref="J51:J52" si="13">H51-G51</f>
        <v>0</v>
      </c>
      <c r="K51" s="73" t="str">
        <f t="shared" ref="K51:K52" si="14">+IF(G51&lt;&gt;0,IF((H51/G51)&lt;0,"n/m ",IF(ABS((J51)/G51)&gt;1,"large ",(J51)/G51*SIGN(G51))),"n/m ")</f>
        <v xml:space="preserve">n/m </v>
      </c>
    </row>
    <row r="52" spans="1:12" s="8" customFormat="1" ht="12.75" customHeight="1" thickBot="1" x14ac:dyDescent="0.3">
      <c r="A52" s="12" t="s">
        <v>115</v>
      </c>
      <c r="B52" s="64">
        <f t="shared" ref="B52:H52" si="15">SUM(B49:B51)</f>
        <v>1.043248</v>
      </c>
      <c r="C52" s="64">
        <f t="shared" si="15"/>
        <v>0</v>
      </c>
      <c r="D52" s="64">
        <f t="shared" si="15"/>
        <v>0</v>
      </c>
      <c r="E52" s="64">
        <f t="shared" si="15"/>
        <v>0</v>
      </c>
      <c r="F52" s="64">
        <f t="shared" si="15"/>
        <v>0</v>
      </c>
      <c r="G52" s="64">
        <f t="shared" si="15"/>
        <v>0</v>
      </c>
      <c r="H52" s="64">
        <f t="shared" si="15"/>
        <v>0</v>
      </c>
      <c r="I52" s="38"/>
      <c r="J52" s="80">
        <f t="shared" si="13"/>
        <v>0</v>
      </c>
      <c r="K52" s="81" t="str">
        <f t="shared" si="14"/>
        <v xml:space="preserve">n/m </v>
      </c>
    </row>
    <row r="53" spans="1:12" s="3" customFormat="1" ht="12.75" customHeight="1" thickTop="1" x14ac:dyDescent="0.25"/>
    <row r="54" spans="1:12" s="3" customFormat="1" ht="18" customHeight="1" x14ac:dyDescent="0.25">
      <c r="A54" s="4" t="s">
        <v>134</v>
      </c>
      <c r="B54" s="5"/>
      <c r="C54" s="5"/>
      <c r="D54" s="5"/>
      <c r="E54" s="5"/>
      <c r="F54" s="5"/>
      <c r="G54" s="5"/>
      <c r="H54" s="5"/>
      <c r="I54" s="5"/>
      <c r="J54" s="5"/>
      <c r="K54" s="5"/>
      <c r="L54" s="5"/>
    </row>
    <row r="55" spans="1:12" s="6" customFormat="1" ht="25.5" customHeight="1" x14ac:dyDescent="0.2">
      <c r="A55" s="188" t="s">
        <v>135</v>
      </c>
      <c r="B55" s="188"/>
      <c r="C55" s="188"/>
      <c r="D55" s="188"/>
      <c r="E55" s="188"/>
      <c r="F55" s="188"/>
      <c r="G55" s="188"/>
      <c r="H55" s="188"/>
      <c r="I55" s="188"/>
      <c r="J55" s="188"/>
      <c r="K55" s="188"/>
    </row>
    <row r="56" spans="1:12" s="8" customFormat="1" ht="12.75" customHeight="1" x14ac:dyDescent="0.25">
      <c r="B56" s="13" t="s">
        <v>6</v>
      </c>
      <c r="C56" s="13" t="s">
        <v>7</v>
      </c>
      <c r="D56" s="13" t="s">
        <v>8</v>
      </c>
      <c r="E56" s="13" t="s">
        <v>9</v>
      </c>
      <c r="F56" s="13" t="s">
        <v>10</v>
      </c>
      <c r="G56" s="13" t="s">
        <v>11</v>
      </c>
      <c r="H56" s="13" t="s">
        <v>12</v>
      </c>
      <c r="J56" s="185" t="s">
        <v>13</v>
      </c>
      <c r="K56" s="185"/>
    </row>
    <row r="57" spans="1:12" s="8" customFormat="1" ht="12.75" customHeight="1" thickBot="1" x14ac:dyDescent="0.3">
      <c r="B57" s="11" t="s">
        <v>48</v>
      </c>
      <c r="C57" s="11" t="s">
        <v>48</v>
      </c>
      <c r="D57" s="11" t="s">
        <v>48</v>
      </c>
      <c r="E57" s="11" t="s">
        <v>48</v>
      </c>
      <c r="F57" s="11" t="s">
        <v>48</v>
      </c>
      <c r="G57" s="11" t="s">
        <v>48</v>
      </c>
      <c r="H57" s="11" t="s">
        <v>48</v>
      </c>
      <c r="J57" s="11" t="s">
        <v>48</v>
      </c>
      <c r="K57" s="11" t="s">
        <v>49</v>
      </c>
    </row>
    <row r="58" spans="1:12" s="8" customFormat="1" ht="12.75" customHeight="1" x14ac:dyDescent="0.25">
      <c r="A58" s="12" t="s">
        <v>52</v>
      </c>
    </row>
    <row r="59" spans="1:12" s="8" customFormat="1" ht="12.75" customHeight="1" x14ac:dyDescent="0.25">
      <c r="A59" s="15" t="s">
        <v>60</v>
      </c>
      <c r="B59" s="38">
        <v>0</v>
      </c>
      <c r="C59" s="38">
        <v>0</v>
      </c>
      <c r="D59" s="38">
        <v>17.100000000000001</v>
      </c>
      <c r="E59" s="38">
        <v>18</v>
      </c>
      <c r="F59" s="38">
        <v>17.5</v>
      </c>
      <c r="G59" s="38">
        <v>16.399999999999999</v>
      </c>
      <c r="H59" s="38">
        <v>15.6</v>
      </c>
      <c r="I59" s="38"/>
      <c r="J59" s="38">
        <f t="shared" ref="J59:J66" si="16">H59-G59</f>
        <v>-0.79999999999999893</v>
      </c>
      <c r="K59" s="92">
        <f t="shared" ref="K59:K66" si="17">+IF(G59&lt;&gt;0,IF((H59/G59)&lt;0,"n/m ",IF(ABS((J59)/G59)&gt;1,"large ",(J59)/G59*SIGN(G59))),"n/m ")</f>
        <v>-4.8780487804877988E-2</v>
      </c>
    </row>
    <row r="60" spans="1:12" s="8" customFormat="1" ht="12.75" customHeight="1" x14ac:dyDescent="0.25">
      <c r="A60" s="15" t="s">
        <v>61</v>
      </c>
      <c r="B60" s="38">
        <v>0</v>
      </c>
      <c r="C60" s="38">
        <v>0</v>
      </c>
      <c r="D60" s="38">
        <v>2.2999999999999998</v>
      </c>
      <c r="E60" s="38">
        <v>2.4</v>
      </c>
      <c r="F60" s="38">
        <v>2.1</v>
      </c>
      <c r="G60" s="38">
        <v>2.2000000000000002</v>
      </c>
      <c r="H60" s="38">
        <v>2.2000000000000002</v>
      </c>
      <c r="I60" s="38"/>
      <c r="J60" s="38">
        <f t="shared" si="16"/>
        <v>0</v>
      </c>
      <c r="K60" s="73">
        <f t="shared" si="17"/>
        <v>0</v>
      </c>
    </row>
    <row r="61" spans="1:12" s="8" customFormat="1" ht="12.75" customHeight="1" x14ac:dyDescent="0.25">
      <c r="A61" s="15" t="s">
        <v>62</v>
      </c>
      <c r="B61" s="38">
        <v>0</v>
      </c>
      <c r="C61" s="38">
        <v>0</v>
      </c>
      <c r="D61" s="38">
        <v>-0.2</v>
      </c>
      <c r="E61" s="38">
        <v>-0.1</v>
      </c>
      <c r="F61" s="38">
        <v>0</v>
      </c>
      <c r="G61" s="38">
        <v>-0.2</v>
      </c>
      <c r="H61" s="38">
        <v>-0.1</v>
      </c>
      <c r="I61" s="38"/>
      <c r="J61" s="38">
        <f t="shared" si="16"/>
        <v>0.1</v>
      </c>
      <c r="K61" s="20">
        <f t="shared" si="17"/>
        <v>0.5</v>
      </c>
    </row>
    <row r="62" spans="1:12" s="8" customFormat="1" ht="12.75" customHeight="1" x14ac:dyDescent="0.25">
      <c r="A62" s="15" t="s">
        <v>63</v>
      </c>
      <c r="B62" s="38">
        <v>0</v>
      </c>
      <c r="C62" s="38">
        <v>0</v>
      </c>
      <c r="D62" s="38">
        <v>-0.6</v>
      </c>
      <c r="E62" s="38">
        <v>-0.6</v>
      </c>
      <c r="F62" s="38">
        <v>0</v>
      </c>
      <c r="G62" s="38">
        <v>0</v>
      </c>
      <c r="H62" s="38">
        <v>-2.4</v>
      </c>
      <c r="I62" s="38"/>
      <c r="J62" s="38">
        <f t="shared" si="16"/>
        <v>-2.4</v>
      </c>
      <c r="K62" s="20" t="str">
        <f t="shared" si="17"/>
        <v xml:space="preserve">n/m </v>
      </c>
    </row>
    <row r="63" spans="1:12" s="8" customFormat="1" ht="12.75" customHeight="1" x14ac:dyDescent="0.25">
      <c r="A63" s="15" t="s">
        <v>64</v>
      </c>
      <c r="B63" s="38">
        <v>0</v>
      </c>
      <c r="C63" s="38">
        <v>0</v>
      </c>
      <c r="D63" s="38">
        <v>0</v>
      </c>
      <c r="E63" s="38">
        <v>0</v>
      </c>
      <c r="F63" s="38">
        <v>0</v>
      </c>
      <c r="G63" s="38">
        <v>0</v>
      </c>
      <c r="H63" s="38">
        <v>0</v>
      </c>
      <c r="I63" s="38"/>
      <c r="J63" s="19">
        <f t="shared" si="16"/>
        <v>0</v>
      </c>
      <c r="K63" s="73" t="str">
        <f t="shared" si="17"/>
        <v xml:space="preserve">n/m </v>
      </c>
    </row>
    <row r="64" spans="1:12" s="8" customFormat="1" ht="12.75" customHeight="1" x14ac:dyDescent="0.25">
      <c r="A64" s="15" t="s">
        <v>113</v>
      </c>
      <c r="B64" s="38">
        <v>0</v>
      </c>
      <c r="C64" s="38">
        <v>0</v>
      </c>
      <c r="D64" s="38">
        <v>-0.1</v>
      </c>
      <c r="E64" s="38">
        <v>-0.1</v>
      </c>
      <c r="F64" s="38">
        <v>0</v>
      </c>
      <c r="G64" s="38">
        <v>-0.1</v>
      </c>
      <c r="H64" s="38">
        <v>0</v>
      </c>
      <c r="I64" s="38"/>
      <c r="J64" s="38">
        <f t="shared" si="16"/>
        <v>0.1</v>
      </c>
      <c r="K64" s="73">
        <f t="shared" si="17"/>
        <v>1</v>
      </c>
    </row>
    <row r="65" spans="1:13" s="8" customFormat="1" ht="12.75" customHeight="1" x14ac:dyDescent="0.25">
      <c r="A65" s="15" t="s">
        <v>70</v>
      </c>
      <c r="B65" s="42">
        <v>0</v>
      </c>
      <c r="C65" s="42">
        <v>0</v>
      </c>
      <c r="D65" s="42">
        <v>0</v>
      </c>
      <c r="E65" s="42">
        <v>0</v>
      </c>
      <c r="F65" s="42">
        <v>0</v>
      </c>
      <c r="G65" s="42">
        <v>0</v>
      </c>
      <c r="H65" s="42">
        <v>0</v>
      </c>
      <c r="I65" s="38"/>
      <c r="J65" s="98">
        <f t="shared" si="16"/>
        <v>0</v>
      </c>
      <c r="K65" s="77" t="str">
        <f t="shared" si="17"/>
        <v xml:space="preserve">n/m </v>
      </c>
      <c r="L65" s="38"/>
    </row>
    <row r="66" spans="1:13" s="8" customFormat="1" ht="12.75" customHeight="1" x14ac:dyDescent="0.25">
      <c r="A66" s="12" t="s">
        <v>71</v>
      </c>
      <c r="B66" s="45">
        <f t="shared" ref="B66:H66" si="18">SUM(B59:B65)</f>
        <v>0</v>
      </c>
      <c r="C66" s="45">
        <f t="shared" si="18"/>
        <v>0</v>
      </c>
      <c r="D66" s="45">
        <f t="shared" si="18"/>
        <v>18.5</v>
      </c>
      <c r="E66" s="45">
        <f>SUM(E59:E65)</f>
        <v>19.599999999999994</v>
      </c>
      <c r="F66" s="45">
        <f t="shared" si="18"/>
        <v>19.600000000000001</v>
      </c>
      <c r="G66" s="45">
        <f t="shared" si="18"/>
        <v>18.299999999999997</v>
      </c>
      <c r="H66" s="45">
        <f t="shared" si="18"/>
        <v>15.299999999999999</v>
      </c>
      <c r="I66" s="38"/>
      <c r="J66" s="78">
        <f t="shared" si="16"/>
        <v>-2.9999999999999982</v>
      </c>
      <c r="K66" s="79">
        <f t="shared" si="17"/>
        <v>-0.16393442622950813</v>
      </c>
      <c r="L66" s="45"/>
    </row>
    <row r="67" spans="1:13" s="8" customFormat="1" ht="12.75" customHeight="1" x14ac:dyDescent="0.25">
      <c r="A67" s="12"/>
      <c r="B67" s="45"/>
      <c r="C67" s="45"/>
      <c r="D67" s="45"/>
      <c r="E67" s="45"/>
      <c r="F67" s="45"/>
      <c r="G67" s="45"/>
      <c r="H67" s="45"/>
      <c r="I67" s="38"/>
      <c r="J67" s="78"/>
      <c r="K67" s="79"/>
      <c r="L67" s="45"/>
    </row>
    <row r="68" spans="1:13" s="8" customFormat="1" ht="12.75" customHeight="1" x14ac:dyDescent="0.25">
      <c r="A68" s="15" t="s">
        <v>114</v>
      </c>
      <c r="B68" s="38">
        <v>0</v>
      </c>
      <c r="C68" s="38">
        <v>0</v>
      </c>
      <c r="D68" s="38">
        <v>-10.5</v>
      </c>
      <c r="E68" s="38">
        <v>-10.1</v>
      </c>
      <c r="F68" s="38">
        <v>-10.7</v>
      </c>
      <c r="G68" s="38">
        <v>-11.3</v>
      </c>
      <c r="H68" s="38">
        <v>-9</v>
      </c>
      <c r="I68" s="38"/>
      <c r="J68" s="38">
        <f t="shared" ref="J68:J69" si="19">H68-G68</f>
        <v>2.3000000000000007</v>
      </c>
      <c r="K68" s="73">
        <f t="shared" ref="K68:K69" si="20">+IF(G68&lt;&gt;0,IF((H68/G68)&lt;0,"n/m ",IF(ABS((J68)/G68)&gt;1,"large ",(J68)/G68*SIGN(G68))),"n/m ")</f>
        <v>0.2035398230088496</v>
      </c>
      <c r="L68" s="38"/>
    </row>
    <row r="69" spans="1:13" s="8" customFormat="1" ht="12.75" customHeight="1" thickBot="1" x14ac:dyDescent="0.3">
      <c r="A69" s="12" t="s">
        <v>115</v>
      </c>
      <c r="B69" s="64">
        <f t="shared" ref="B69:H69" si="21">SUM(B66:B68)</f>
        <v>0</v>
      </c>
      <c r="C69" s="64">
        <f t="shared" si="21"/>
        <v>0</v>
      </c>
      <c r="D69" s="64">
        <f t="shared" si="21"/>
        <v>8</v>
      </c>
      <c r="E69" s="64">
        <f t="shared" si="21"/>
        <v>9.4999999999999947</v>
      </c>
      <c r="F69" s="64">
        <f t="shared" si="21"/>
        <v>8.9000000000000021</v>
      </c>
      <c r="G69" s="64">
        <f t="shared" si="21"/>
        <v>6.9999999999999964</v>
      </c>
      <c r="H69" s="64">
        <f t="shared" si="21"/>
        <v>6.2999999999999989</v>
      </c>
      <c r="I69" s="38"/>
      <c r="J69" s="80">
        <f t="shared" si="19"/>
        <v>-0.69999999999999751</v>
      </c>
      <c r="K69" s="81">
        <f t="shared" si="20"/>
        <v>-9.99999999999997E-2</v>
      </c>
    </row>
    <row r="70" spans="1:13" s="3" customFormat="1" ht="12.75" customHeight="1" thickTop="1" x14ac:dyDescent="0.25"/>
    <row r="72" spans="1:13" ht="12.75" customHeight="1" x14ac:dyDescent="0.2">
      <c r="A72" s="99"/>
      <c r="M72" s="100"/>
    </row>
  </sheetData>
  <mergeCells count="8">
    <mergeCell ref="A55:K55"/>
    <mergeCell ref="J56:K56"/>
    <mergeCell ref="A4:K4"/>
    <mergeCell ref="J5:K5"/>
    <mergeCell ref="A21:K21"/>
    <mergeCell ref="J22:K22"/>
    <mergeCell ref="A38:K38"/>
    <mergeCell ref="J39:K39"/>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rowBreaks count="1" manualBreakCount="1">
    <brk id="3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F06A3-7A42-42CB-A1AE-12A587749A8F}">
  <sheetPr>
    <pageSetUpPr fitToPage="1"/>
  </sheetPr>
  <dimension ref="A1:P77"/>
  <sheetViews>
    <sheetView showGridLines="0" zoomScaleNormal="100" zoomScaleSheetLayoutView="100" workbookViewId="0"/>
  </sheetViews>
  <sheetFormatPr defaultColWidth="9.140625" defaultRowHeight="12.75" customHeight="1" x14ac:dyDescent="0.2"/>
  <cols>
    <col min="1" max="1" width="53.7109375" style="6" customWidth="1"/>
    <col min="2" max="13" width="8.5703125" style="6" customWidth="1"/>
    <col min="14" max="14" width="8.5703125" style="121" customWidth="1"/>
    <col min="15" max="15" width="8.5703125" style="6" customWidth="1"/>
    <col min="16" max="16384" width="9.140625" style="6"/>
  </cols>
  <sheetData>
    <row r="1" spans="1:16" s="3" customFormat="1" ht="27.95" customHeight="1" x14ac:dyDescent="0.25">
      <c r="A1" s="1" t="s">
        <v>0</v>
      </c>
      <c r="B1" s="2"/>
      <c r="C1" s="2"/>
      <c r="D1" s="2"/>
      <c r="E1" s="2"/>
      <c r="F1" s="2"/>
      <c r="G1" s="2"/>
      <c r="H1" s="2"/>
      <c r="I1" s="2"/>
      <c r="J1" s="2"/>
      <c r="K1" s="2"/>
      <c r="L1" s="2"/>
      <c r="M1" s="2"/>
      <c r="N1" s="2"/>
      <c r="O1" s="2"/>
    </row>
    <row r="2" spans="1:16" s="10" customFormat="1" ht="12.75" customHeight="1" x14ac:dyDescent="0.2"/>
    <row r="3" spans="1:16" s="3" customFormat="1" ht="18" customHeight="1" x14ac:dyDescent="0.25">
      <c r="A3" s="4" t="s">
        <v>136</v>
      </c>
      <c r="B3" s="5"/>
      <c r="C3" s="5"/>
      <c r="D3" s="5"/>
      <c r="E3" s="5"/>
      <c r="F3" s="5"/>
      <c r="G3" s="5"/>
      <c r="H3" s="5"/>
      <c r="I3" s="5"/>
      <c r="J3" s="5"/>
      <c r="K3" s="5"/>
      <c r="L3" s="5"/>
      <c r="M3" s="5"/>
      <c r="N3" s="5"/>
      <c r="O3" s="5"/>
    </row>
    <row r="4" spans="1:16" s="8" customFormat="1" ht="12.75" customHeight="1" x14ac:dyDescent="0.25">
      <c r="A4" s="187" t="s">
        <v>108</v>
      </c>
      <c r="B4" s="187"/>
      <c r="C4" s="187"/>
      <c r="D4" s="187"/>
      <c r="E4" s="187"/>
      <c r="F4" s="187"/>
      <c r="G4" s="187"/>
      <c r="H4" s="187"/>
      <c r="I4" s="187"/>
    </row>
    <row r="5" spans="1:16" s="8" customFormat="1" ht="12.75" customHeight="1" x14ac:dyDescent="0.25">
      <c r="B5" s="13" t="s">
        <v>137</v>
      </c>
      <c r="C5" s="13" t="s">
        <v>138</v>
      </c>
      <c r="D5" s="13" t="s">
        <v>139</v>
      </c>
      <c r="E5" s="13" t="s">
        <v>140</v>
      </c>
      <c r="F5" s="13" t="s">
        <v>141</v>
      </c>
      <c r="G5" s="13" t="s">
        <v>142</v>
      </c>
      <c r="H5" s="13" t="s">
        <v>143</v>
      </c>
      <c r="I5" s="13" t="s">
        <v>144</v>
      </c>
      <c r="J5" s="13" t="s">
        <v>145</v>
      </c>
      <c r="K5" s="13" t="s">
        <v>146</v>
      </c>
      <c r="L5" s="13" t="s">
        <v>147</v>
      </c>
      <c r="M5" s="13" t="s">
        <v>148</v>
      </c>
      <c r="N5" s="13" t="s">
        <v>149</v>
      </c>
      <c r="O5" s="13" t="s">
        <v>150</v>
      </c>
    </row>
    <row r="6" spans="1:16" s="8" customFormat="1" ht="12.75" customHeight="1" thickBot="1" x14ac:dyDescent="0.3">
      <c r="B6" s="11" t="s">
        <v>48</v>
      </c>
      <c r="C6" s="11" t="s">
        <v>48</v>
      </c>
      <c r="D6" s="11" t="s">
        <v>48</v>
      </c>
      <c r="E6" s="11" t="s">
        <v>48</v>
      </c>
      <c r="F6" s="11" t="s">
        <v>48</v>
      </c>
      <c r="G6" s="11" t="s">
        <v>48</v>
      </c>
      <c r="H6" s="11" t="s">
        <v>48</v>
      </c>
      <c r="I6" s="11" t="s">
        <v>48</v>
      </c>
      <c r="J6" s="11" t="s">
        <v>48</v>
      </c>
      <c r="K6" s="11" t="s">
        <v>48</v>
      </c>
      <c r="L6" s="11" t="s">
        <v>48</v>
      </c>
      <c r="M6" s="11" t="s">
        <v>48</v>
      </c>
      <c r="N6" s="11" t="s">
        <v>48</v>
      </c>
      <c r="O6" s="11" t="s">
        <v>48</v>
      </c>
    </row>
    <row r="7" spans="1:16" s="8" customFormat="1" ht="12.75" customHeight="1" x14ac:dyDescent="0.25">
      <c r="A7" s="8" t="s">
        <v>151</v>
      </c>
      <c r="B7" s="101">
        <v>66015</v>
      </c>
      <c r="C7" s="101">
        <v>67595</v>
      </c>
      <c r="D7" s="101">
        <v>68489</v>
      </c>
      <c r="E7" s="101">
        <v>102203</v>
      </c>
      <c r="F7" s="101">
        <f>E15</f>
        <v>107641</v>
      </c>
      <c r="G7" s="101">
        <f>F15</f>
        <v>101358</v>
      </c>
      <c r="H7" s="101">
        <f t="shared" ref="H7:O7" si="0">G15</f>
        <v>104625</v>
      </c>
      <c r="I7" s="101">
        <f t="shared" si="0"/>
        <v>106162.91716139999</v>
      </c>
      <c r="J7" s="101">
        <f t="shared" si="0"/>
        <v>311362.29572921002</v>
      </c>
      <c r="K7" s="101">
        <f t="shared" si="0"/>
        <v>313654.52556071</v>
      </c>
      <c r="L7" s="101">
        <f t="shared" si="0"/>
        <v>318285.52556071</v>
      </c>
      <c r="M7" s="101">
        <f t="shared" si="0"/>
        <v>309831.52556071</v>
      </c>
      <c r="N7" s="101">
        <f t="shared" si="0"/>
        <v>290573.52556071</v>
      </c>
      <c r="O7" s="101">
        <f t="shared" si="0"/>
        <v>285306.52556071</v>
      </c>
      <c r="P7" s="101"/>
    </row>
    <row r="8" spans="1:16" s="8" customFormat="1" ht="12.75" customHeight="1" x14ac:dyDescent="0.25">
      <c r="A8" s="8" t="s">
        <v>152</v>
      </c>
      <c r="B8" s="101">
        <v>0</v>
      </c>
      <c r="C8" s="101">
        <v>0</v>
      </c>
      <c r="D8" s="101">
        <v>49112</v>
      </c>
      <c r="E8" s="101">
        <v>0</v>
      </c>
      <c r="F8" s="101">
        <v>0</v>
      </c>
      <c r="G8" s="101">
        <v>0</v>
      </c>
      <c r="H8" s="101">
        <v>0</v>
      </c>
      <c r="I8" s="101">
        <v>196598.82809875</v>
      </c>
      <c r="J8" s="101">
        <v>0</v>
      </c>
      <c r="K8" s="101">
        <v>0</v>
      </c>
      <c r="L8" s="101">
        <v>0</v>
      </c>
      <c r="M8" s="101">
        <v>0</v>
      </c>
      <c r="N8" s="101">
        <v>0</v>
      </c>
      <c r="O8" s="101">
        <v>0</v>
      </c>
    </row>
    <row r="9" spans="1:16" s="8" customFormat="1" ht="12.75" customHeight="1" x14ac:dyDescent="0.25">
      <c r="A9" s="8" t="s">
        <v>153</v>
      </c>
      <c r="B9" s="101">
        <v>244</v>
      </c>
      <c r="C9" s="101">
        <v>222</v>
      </c>
      <c r="D9" s="101">
        <v>-312</v>
      </c>
      <c r="E9" s="101">
        <v>114</v>
      </c>
      <c r="F9" s="101">
        <v>-177</v>
      </c>
      <c r="G9" s="101">
        <v>-2672</v>
      </c>
      <c r="H9" s="101">
        <v>-873.09448107000003</v>
      </c>
      <c r="I9" s="101">
        <f>492.020562419986+(-I10)</f>
        <v>544.02056241998594</v>
      </c>
      <c r="J9" s="101">
        <f>-2232.90058422+(-J10)</f>
        <v>-1361.9005842199999</v>
      </c>
      <c r="K9" s="101">
        <f>-118+(-K10)</f>
        <v>172</v>
      </c>
      <c r="L9" s="101">
        <f>142+(-L10)</f>
        <v>-14</v>
      </c>
      <c r="M9" s="101">
        <f>-185+(-M10)</f>
        <v>-36</v>
      </c>
      <c r="N9" s="101">
        <v>242</v>
      </c>
      <c r="O9" s="101">
        <v>-298</v>
      </c>
    </row>
    <row r="10" spans="1:16" s="8" customFormat="1" ht="12.75" customHeight="1" x14ac:dyDescent="0.25">
      <c r="A10" s="8" t="s">
        <v>154</v>
      </c>
      <c r="B10" s="101">
        <v>0</v>
      </c>
      <c r="C10" s="101">
        <v>0</v>
      </c>
      <c r="D10" s="101">
        <v>0</v>
      </c>
      <c r="E10" s="101">
        <v>0</v>
      </c>
      <c r="F10" s="101">
        <v>0</v>
      </c>
      <c r="G10" s="101">
        <v>0</v>
      </c>
      <c r="H10" s="101">
        <v>0</v>
      </c>
      <c r="I10" s="101">
        <f>I47</f>
        <v>-52</v>
      </c>
      <c r="J10" s="101">
        <f t="shared" ref="J10:O10" si="1">J47</f>
        <v>-871</v>
      </c>
      <c r="K10" s="101">
        <f t="shared" si="1"/>
        <v>-290</v>
      </c>
      <c r="L10" s="101">
        <f t="shared" si="1"/>
        <v>156</v>
      </c>
      <c r="M10" s="101">
        <f t="shared" si="1"/>
        <v>-149</v>
      </c>
      <c r="N10" s="101">
        <f t="shared" si="1"/>
        <v>-1602</v>
      </c>
      <c r="O10" s="101">
        <f t="shared" si="1"/>
        <v>0</v>
      </c>
    </row>
    <row r="11" spans="1:16" s="8" customFormat="1" ht="12.75" customHeight="1" x14ac:dyDescent="0.25">
      <c r="A11" s="8" t="s">
        <v>155</v>
      </c>
      <c r="B11" s="101">
        <v>-231</v>
      </c>
      <c r="C11" s="101">
        <v>-229</v>
      </c>
      <c r="D11" s="101">
        <v>-368</v>
      </c>
      <c r="E11" s="101">
        <v>-449</v>
      </c>
      <c r="F11" s="101">
        <v>-355</v>
      </c>
      <c r="G11" s="101">
        <v>-347</v>
      </c>
      <c r="H11" s="101">
        <v>-343.27240260999997</v>
      </c>
      <c r="I11" s="101">
        <v>-510.80252357999996</v>
      </c>
      <c r="J11" s="101">
        <v>-746.58726965000005</v>
      </c>
      <c r="K11" s="101">
        <v>-716</v>
      </c>
      <c r="L11" s="101">
        <v>-691</v>
      </c>
      <c r="M11" s="101">
        <v>-784</v>
      </c>
      <c r="N11" s="101">
        <v>-747</v>
      </c>
      <c r="O11" s="101">
        <v>-706</v>
      </c>
    </row>
    <row r="12" spans="1:16" s="8" customFormat="1" ht="12.75" customHeight="1" x14ac:dyDescent="0.25">
      <c r="A12" s="8" t="s">
        <v>156</v>
      </c>
      <c r="B12" s="101">
        <v>1567</v>
      </c>
      <c r="C12" s="101">
        <v>902</v>
      </c>
      <c r="D12" s="101">
        <v>-14717</v>
      </c>
      <c r="E12" s="101">
        <v>6516</v>
      </c>
      <c r="F12" s="101">
        <v>1441</v>
      </c>
      <c r="G12" s="101">
        <v>6366</v>
      </c>
      <c r="H12" s="101">
        <v>2754.2840450800054</v>
      </c>
      <c r="I12" s="101">
        <v>8619.3324302200399</v>
      </c>
      <c r="J12" s="101">
        <v>5271.7176853699993</v>
      </c>
      <c r="K12" s="101">
        <v>5465</v>
      </c>
      <c r="L12" s="101">
        <v>-7907</v>
      </c>
      <c r="M12" s="101">
        <v>-18289</v>
      </c>
      <c r="N12" s="101">
        <v>-3160</v>
      </c>
      <c r="O12" s="101">
        <v>799</v>
      </c>
    </row>
    <row r="13" spans="1:16" s="8" customFormat="1" ht="12.75" customHeight="1" x14ac:dyDescent="0.25">
      <c r="A13" s="8" t="s">
        <v>157</v>
      </c>
      <c r="B13" s="101">
        <v>0</v>
      </c>
      <c r="C13" s="101">
        <v>0</v>
      </c>
      <c r="D13" s="101">
        <v>0</v>
      </c>
      <c r="E13" s="101">
        <v>0</v>
      </c>
      <c r="F13" s="101">
        <f>-F56</f>
        <v>-6573</v>
      </c>
      <c r="G13" s="101">
        <v>0</v>
      </c>
      <c r="H13" s="101">
        <v>0</v>
      </c>
      <c r="I13" s="101">
        <v>0</v>
      </c>
      <c r="J13" s="101">
        <v>0</v>
      </c>
      <c r="K13" s="101">
        <v>0</v>
      </c>
      <c r="L13" s="101">
        <v>0</v>
      </c>
      <c r="M13" s="101">
        <v>0</v>
      </c>
      <c r="N13" s="101">
        <v>0</v>
      </c>
      <c r="O13" s="101">
        <v>0</v>
      </c>
    </row>
    <row r="14" spans="1:16" s="8" customFormat="1" ht="12.75" customHeight="1" x14ac:dyDescent="0.25">
      <c r="A14" s="8" t="s">
        <v>158</v>
      </c>
      <c r="B14" s="101">
        <v>0</v>
      </c>
      <c r="C14" s="101">
        <v>0</v>
      </c>
      <c r="D14" s="101">
        <v>0</v>
      </c>
      <c r="E14" s="101">
        <v>-743</v>
      </c>
      <c r="F14" s="101">
        <v>-619</v>
      </c>
      <c r="G14" s="101">
        <v>-80</v>
      </c>
      <c r="H14" s="101">
        <v>0</v>
      </c>
      <c r="I14" s="101">
        <v>0</v>
      </c>
      <c r="J14" s="101">
        <v>0</v>
      </c>
      <c r="K14" s="101">
        <v>0</v>
      </c>
      <c r="L14" s="101">
        <v>0</v>
      </c>
      <c r="M14" s="101">
        <v>0</v>
      </c>
      <c r="N14" s="101">
        <v>0</v>
      </c>
      <c r="O14" s="101">
        <v>0</v>
      </c>
    </row>
    <row r="15" spans="1:16" s="8" customFormat="1" ht="12.75" customHeight="1" thickBot="1" x14ac:dyDescent="0.3">
      <c r="A15" s="12" t="s">
        <v>159</v>
      </c>
      <c r="B15" s="102">
        <v>67595</v>
      </c>
      <c r="C15" s="102">
        <v>68490</v>
      </c>
      <c r="D15" s="102">
        <f t="shared" ref="D15:K15" si="2">SUM(D7:D14)</f>
        <v>102204</v>
      </c>
      <c r="E15" s="102">
        <f t="shared" si="2"/>
        <v>107641</v>
      </c>
      <c r="F15" s="102">
        <f t="shared" si="2"/>
        <v>101358</v>
      </c>
      <c r="G15" s="102">
        <f t="shared" si="2"/>
        <v>104625</v>
      </c>
      <c r="H15" s="102">
        <f t="shared" si="2"/>
        <v>106162.91716139999</v>
      </c>
      <c r="I15" s="102">
        <f t="shared" si="2"/>
        <v>311362.29572921002</v>
      </c>
      <c r="J15" s="102">
        <f t="shared" si="2"/>
        <v>313654.52556071</v>
      </c>
      <c r="K15" s="102">
        <f t="shared" si="2"/>
        <v>318285.52556071</v>
      </c>
      <c r="L15" s="102">
        <f>SUM(L7:L14)+2</f>
        <v>309831.52556071</v>
      </c>
      <c r="M15" s="102">
        <f>SUM(M7:M14)</f>
        <v>290573.52556071</v>
      </c>
      <c r="N15" s="102">
        <f>SUM(N7:N14)</f>
        <v>285306.52556071</v>
      </c>
      <c r="O15" s="102">
        <f t="shared" ref="O15" si="3">SUM(O7:O14)</f>
        <v>285101.52556071</v>
      </c>
    </row>
    <row r="16" spans="1:16" s="8" customFormat="1" ht="12.75" customHeight="1" x14ac:dyDescent="0.25"/>
    <row r="17" spans="1:15" s="3" customFormat="1" ht="18" customHeight="1" x14ac:dyDescent="0.25">
      <c r="A17" s="4" t="s">
        <v>160</v>
      </c>
      <c r="B17" s="5"/>
      <c r="C17" s="5"/>
      <c r="D17" s="5"/>
      <c r="E17" s="5"/>
      <c r="F17" s="5"/>
      <c r="G17" s="5"/>
      <c r="H17" s="5"/>
      <c r="I17" s="5"/>
      <c r="J17" s="5"/>
      <c r="K17" s="5"/>
      <c r="L17" s="5"/>
      <c r="M17" s="5"/>
      <c r="N17" s="5"/>
      <c r="O17" s="5"/>
    </row>
    <row r="18" spans="1:15" s="8" customFormat="1" ht="12.75" customHeight="1" x14ac:dyDescent="0.25">
      <c r="A18" s="187" t="s">
        <v>108</v>
      </c>
      <c r="B18" s="187"/>
      <c r="C18" s="187"/>
      <c r="D18" s="187"/>
      <c r="E18" s="187"/>
      <c r="F18" s="187"/>
      <c r="G18" s="187"/>
      <c r="H18" s="187"/>
      <c r="I18" s="187"/>
    </row>
    <row r="19" spans="1:15" s="8" customFormat="1" ht="12.75" customHeight="1" x14ac:dyDescent="0.25">
      <c r="B19" s="13" t="s">
        <v>137</v>
      </c>
      <c r="C19" s="13" t="s">
        <v>138</v>
      </c>
      <c r="D19" s="13" t="s">
        <v>139</v>
      </c>
      <c r="E19" s="13" t="s">
        <v>140</v>
      </c>
      <c r="F19" s="13" t="s">
        <v>141</v>
      </c>
      <c r="G19" s="13" t="s">
        <v>142</v>
      </c>
      <c r="H19" s="13" t="s">
        <v>143</v>
      </c>
      <c r="I19" s="13" t="s">
        <v>144</v>
      </c>
      <c r="J19" s="13" t="s">
        <v>145</v>
      </c>
      <c r="K19" s="13" t="s">
        <v>146</v>
      </c>
      <c r="L19" s="13" t="s">
        <v>147</v>
      </c>
      <c r="M19" s="13" t="s">
        <v>148</v>
      </c>
      <c r="N19" s="13" t="s">
        <v>149</v>
      </c>
      <c r="O19" s="13" t="s">
        <v>150</v>
      </c>
    </row>
    <row r="20" spans="1:15" s="8" customFormat="1" ht="12.75" customHeight="1" thickBot="1" x14ac:dyDescent="0.3">
      <c r="B20" s="11" t="s">
        <v>48</v>
      </c>
      <c r="C20" s="11" t="s">
        <v>48</v>
      </c>
      <c r="D20" s="11" t="s">
        <v>48</v>
      </c>
      <c r="E20" s="11" t="s">
        <v>48</v>
      </c>
      <c r="F20" s="11" t="s">
        <v>48</v>
      </c>
      <c r="G20" s="11" t="s">
        <v>48</v>
      </c>
      <c r="H20" s="11" t="s">
        <v>48</v>
      </c>
      <c r="I20" s="11" t="s">
        <v>48</v>
      </c>
      <c r="J20" s="11" t="s">
        <v>48</v>
      </c>
      <c r="K20" s="11" t="s">
        <v>48</v>
      </c>
      <c r="L20" s="11" t="s">
        <v>48</v>
      </c>
      <c r="M20" s="11" t="s">
        <v>48</v>
      </c>
      <c r="N20" s="11" t="s">
        <v>48</v>
      </c>
      <c r="O20" s="11" t="s">
        <v>48</v>
      </c>
    </row>
    <row r="21" spans="1:15" s="8" customFormat="1" ht="12.75" customHeight="1" x14ac:dyDescent="0.25">
      <c r="A21" s="8" t="s">
        <v>151</v>
      </c>
      <c r="B21" s="103">
        <v>43127</v>
      </c>
      <c r="C21" s="103">
        <v>44174</v>
      </c>
      <c r="D21" s="103">
        <v>44882</v>
      </c>
      <c r="E21" s="103">
        <f t="shared" ref="E21:M21" si="4">D28</f>
        <v>81107</v>
      </c>
      <c r="F21" s="103">
        <f>E28</f>
        <v>85256</v>
      </c>
      <c r="G21" s="103">
        <f t="shared" si="4"/>
        <v>78714</v>
      </c>
      <c r="H21" s="103">
        <f t="shared" si="4"/>
        <v>82777</v>
      </c>
      <c r="I21" s="103">
        <f t="shared" si="4"/>
        <v>84026.625518249988</v>
      </c>
      <c r="J21" s="103">
        <f t="shared" si="4"/>
        <v>213670.94097956002</v>
      </c>
      <c r="K21" s="103">
        <f t="shared" si="4"/>
        <v>215365.21410228001</v>
      </c>
      <c r="L21" s="103">
        <f t="shared" si="4"/>
        <v>219440.21410228001</v>
      </c>
      <c r="M21" s="103">
        <f t="shared" si="4"/>
        <v>212913.44410228002</v>
      </c>
      <c r="N21" s="103">
        <f>M28</f>
        <v>198228.44410228002</v>
      </c>
      <c r="O21" s="103">
        <f t="shared" ref="O21" si="5">N28</f>
        <v>194645.44410228002</v>
      </c>
    </row>
    <row r="22" spans="1:15" s="8" customFormat="1" ht="12.75" customHeight="1" x14ac:dyDescent="0.25">
      <c r="A22" s="8" t="s">
        <v>152</v>
      </c>
      <c r="B22" s="103">
        <v>0</v>
      </c>
      <c r="C22" s="103">
        <v>0</v>
      </c>
      <c r="D22" s="103">
        <v>49112</v>
      </c>
      <c r="E22" s="103">
        <v>0</v>
      </c>
      <c r="F22" s="103">
        <v>0</v>
      </c>
      <c r="G22" s="103">
        <v>0</v>
      </c>
      <c r="H22" s="103">
        <v>0</v>
      </c>
      <c r="I22" s="103">
        <v>123558.82809875</v>
      </c>
      <c r="J22" s="103">
        <v>0</v>
      </c>
      <c r="K22" s="103">
        <v>0</v>
      </c>
      <c r="L22" s="103">
        <v>0</v>
      </c>
      <c r="M22" s="103">
        <v>0</v>
      </c>
      <c r="N22" s="103">
        <v>0</v>
      </c>
      <c r="O22" s="103">
        <v>0</v>
      </c>
    </row>
    <row r="23" spans="1:15" s="8" customFormat="1" ht="12.75" customHeight="1" x14ac:dyDescent="0.25">
      <c r="A23" s="8" t="s">
        <v>161</v>
      </c>
      <c r="B23" s="103">
        <v>410</v>
      </c>
      <c r="C23" s="103">
        <v>367</v>
      </c>
      <c r="D23" s="103">
        <v>-231</v>
      </c>
      <c r="E23" s="103">
        <v>165</v>
      </c>
      <c r="F23" s="103">
        <v>-115</v>
      </c>
      <c r="G23" s="103">
        <v>-504</v>
      </c>
      <c r="H23" s="103">
        <v>-366.32821858</v>
      </c>
      <c r="I23" s="103">
        <v>115.265056319986</v>
      </c>
      <c r="J23" s="103">
        <v>-825.83932889000005</v>
      </c>
      <c r="K23" s="103">
        <v>-167</v>
      </c>
      <c r="L23" s="103">
        <v>-190</v>
      </c>
      <c r="M23" s="103">
        <v>598</v>
      </c>
      <c r="N23" s="103">
        <v>125</v>
      </c>
      <c r="O23" s="103">
        <v>-267</v>
      </c>
    </row>
    <row r="24" spans="1:15" s="8" customFormat="1" ht="12.75" customHeight="1" x14ac:dyDescent="0.25">
      <c r="A24" s="8" t="s">
        <v>155</v>
      </c>
      <c r="B24" s="103">
        <v>-231</v>
      </c>
      <c r="C24" s="103">
        <v>-229</v>
      </c>
      <c r="D24" s="103">
        <v>-368</v>
      </c>
      <c r="E24" s="103">
        <v>-449</v>
      </c>
      <c r="F24" s="103">
        <v>-355</v>
      </c>
      <c r="G24" s="103">
        <v>-347</v>
      </c>
      <c r="H24" s="103">
        <v>-343.27240260999997</v>
      </c>
      <c r="I24" s="103">
        <v>-510.80252357999996</v>
      </c>
      <c r="J24" s="103">
        <v>-746.58726965000005</v>
      </c>
      <c r="K24" s="103">
        <v>-716</v>
      </c>
      <c r="L24" s="103">
        <v>-690.96</v>
      </c>
      <c r="M24" s="103">
        <v>-784</v>
      </c>
      <c r="N24" s="103">
        <v>-747</v>
      </c>
      <c r="O24" s="103">
        <v>-706</v>
      </c>
    </row>
    <row r="25" spans="1:15" s="8" customFormat="1" ht="12.75" customHeight="1" x14ac:dyDescent="0.25">
      <c r="A25" s="8" t="s">
        <v>156</v>
      </c>
      <c r="B25" s="103">
        <v>868</v>
      </c>
      <c r="C25" s="103">
        <v>570</v>
      </c>
      <c r="D25" s="103">
        <v>-12288</v>
      </c>
      <c r="E25" s="103">
        <v>5176</v>
      </c>
      <c r="F25" s="103">
        <v>1120</v>
      </c>
      <c r="G25" s="103">
        <v>4994</v>
      </c>
      <c r="H25" s="103">
        <v>1959.2261394400002</v>
      </c>
      <c r="I25" s="103">
        <v>6481.0248298200304</v>
      </c>
      <c r="J25" s="103">
        <v>3266.6997212599799</v>
      </c>
      <c r="K25" s="103">
        <v>4958</v>
      </c>
      <c r="L25" s="103">
        <v>-5646.81</v>
      </c>
      <c r="M25" s="103">
        <v>-14499</v>
      </c>
      <c r="N25" s="103">
        <v>-2961</v>
      </c>
      <c r="O25" s="103">
        <v>7642</v>
      </c>
    </row>
    <row r="26" spans="1:15" s="8" customFormat="1" ht="12.75" customHeight="1" x14ac:dyDescent="0.25">
      <c r="A26" s="8" t="s">
        <v>157</v>
      </c>
      <c r="B26" s="103">
        <v>0</v>
      </c>
      <c r="C26" s="103">
        <v>0</v>
      </c>
      <c r="D26" s="103">
        <v>0</v>
      </c>
      <c r="E26" s="103">
        <v>0</v>
      </c>
      <c r="F26" s="103">
        <v>-6573</v>
      </c>
      <c r="G26" s="103">
        <v>0</v>
      </c>
      <c r="H26" s="103">
        <v>0</v>
      </c>
      <c r="I26" s="103">
        <v>0</v>
      </c>
      <c r="J26" s="103">
        <v>0</v>
      </c>
      <c r="K26" s="103">
        <v>0</v>
      </c>
      <c r="L26" s="103">
        <v>0</v>
      </c>
      <c r="M26" s="103">
        <v>0</v>
      </c>
      <c r="N26" s="103">
        <v>0</v>
      </c>
      <c r="O26" s="103">
        <v>0</v>
      </c>
    </row>
    <row r="27" spans="1:15" s="8" customFormat="1" ht="12.75" customHeight="1" x14ac:dyDescent="0.25">
      <c r="A27" s="8" t="s">
        <v>158</v>
      </c>
      <c r="B27" s="103">
        <v>0</v>
      </c>
      <c r="C27" s="103">
        <v>0</v>
      </c>
      <c r="D27" s="103">
        <v>0</v>
      </c>
      <c r="E27" s="103">
        <v>-743</v>
      </c>
      <c r="F27" s="103">
        <v>-619</v>
      </c>
      <c r="G27" s="103">
        <v>-80</v>
      </c>
      <c r="H27" s="103">
        <v>0</v>
      </c>
      <c r="I27" s="103">
        <v>0</v>
      </c>
      <c r="J27" s="103">
        <v>0</v>
      </c>
      <c r="K27" s="103">
        <v>0</v>
      </c>
      <c r="L27" s="103">
        <v>0</v>
      </c>
      <c r="M27" s="103">
        <v>0</v>
      </c>
      <c r="N27" s="103">
        <v>0</v>
      </c>
      <c r="O27" s="103">
        <v>0</v>
      </c>
    </row>
    <row r="28" spans="1:15" s="8" customFormat="1" ht="12.75" customHeight="1" thickBot="1" x14ac:dyDescent="0.3">
      <c r="A28" s="12" t="s">
        <v>159</v>
      </c>
      <c r="B28" s="104">
        <v>44174</v>
      </c>
      <c r="C28" s="104">
        <v>44882</v>
      </c>
      <c r="D28" s="105">
        <f t="shared" ref="D28:K28" si="6">SUM(D21:D27)</f>
        <v>81107</v>
      </c>
      <c r="E28" s="105">
        <f t="shared" si="6"/>
        <v>85256</v>
      </c>
      <c r="F28" s="105">
        <f t="shared" si="6"/>
        <v>78714</v>
      </c>
      <c r="G28" s="105">
        <f t="shared" si="6"/>
        <v>82777</v>
      </c>
      <c r="H28" s="105">
        <f t="shared" si="6"/>
        <v>84026.625518249988</v>
      </c>
      <c r="I28" s="105">
        <f t="shared" si="6"/>
        <v>213670.94097956002</v>
      </c>
      <c r="J28" s="105">
        <f t="shared" si="6"/>
        <v>215365.21410228001</v>
      </c>
      <c r="K28" s="105">
        <f t="shared" si="6"/>
        <v>219440.21410228001</v>
      </c>
      <c r="L28" s="105">
        <f>SUM(L21:L27)+1</f>
        <v>212913.44410228002</v>
      </c>
      <c r="M28" s="105">
        <f>SUM(M21:M27)</f>
        <v>198228.44410228002</v>
      </c>
      <c r="N28" s="105">
        <f t="shared" ref="N28:O28" si="7">SUM(N21:N27)</f>
        <v>194645.44410228002</v>
      </c>
      <c r="O28" s="105">
        <f t="shared" si="7"/>
        <v>201314.44410228002</v>
      </c>
    </row>
    <row r="29" spans="1:15" s="8" customFormat="1" ht="12.75" customHeight="1" x14ac:dyDescent="0.25">
      <c r="N29" s="106"/>
    </row>
    <row r="30" spans="1:15" s="3" customFormat="1" ht="18" customHeight="1" x14ac:dyDescent="0.25">
      <c r="A30" s="4" t="s">
        <v>162</v>
      </c>
      <c r="B30" s="5"/>
      <c r="C30" s="5"/>
      <c r="D30" s="5"/>
      <c r="E30" s="5"/>
      <c r="F30" s="5"/>
      <c r="G30" s="5"/>
      <c r="H30" s="5"/>
      <c r="I30" s="5"/>
      <c r="J30" s="5"/>
      <c r="K30" s="5"/>
      <c r="L30" s="5"/>
      <c r="M30" s="5"/>
      <c r="N30" s="5"/>
      <c r="O30" s="5"/>
    </row>
    <row r="31" spans="1:15" s="8" customFormat="1" ht="12.75" customHeight="1" x14ac:dyDescent="0.25">
      <c r="A31" s="189" t="s">
        <v>108</v>
      </c>
      <c r="B31" s="189"/>
      <c r="C31" s="189"/>
    </row>
    <row r="32" spans="1:15" s="8" customFormat="1" ht="12.75" customHeight="1" x14ac:dyDescent="0.25">
      <c r="B32" s="13" t="s">
        <v>137</v>
      </c>
      <c r="C32" s="13" t="s">
        <v>138</v>
      </c>
      <c r="D32" s="13" t="s">
        <v>139</v>
      </c>
      <c r="E32" s="13" t="s">
        <v>140</v>
      </c>
      <c r="F32" s="13" t="s">
        <v>141</v>
      </c>
      <c r="G32" s="13" t="s">
        <v>142</v>
      </c>
      <c r="H32" s="13" t="s">
        <v>143</v>
      </c>
      <c r="I32" s="13" t="s">
        <v>144</v>
      </c>
      <c r="J32" s="13" t="s">
        <v>145</v>
      </c>
      <c r="K32" s="13" t="s">
        <v>146</v>
      </c>
      <c r="L32" s="13" t="s">
        <v>147</v>
      </c>
      <c r="M32" s="13" t="s">
        <v>148</v>
      </c>
      <c r="N32" s="13" t="s">
        <v>149</v>
      </c>
      <c r="O32" s="13" t="s">
        <v>150</v>
      </c>
    </row>
    <row r="33" spans="1:15" s="8" customFormat="1" ht="12.75" customHeight="1" thickBot="1" x14ac:dyDescent="0.3">
      <c r="B33" s="11" t="s">
        <v>48</v>
      </c>
      <c r="C33" s="11" t="s">
        <v>48</v>
      </c>
      <c r="D33" s="11" t="s">
        <v>48</v>
      </c>
      <c r="E33" s="11" t="s">
        <v>48</v>
      </c>
      <c r="F33" s="11" t="s">
        <v>48</v>
      </c>
      <c r="G33" s="11" t="s">
        <v>48</v>
      </c>
      <c r="H33" s="11" t="s">
        <v>48</v>
      </c>
      <c r="I33" s="11" t="s">
        <v>48</v>
      </c>
      <c r="J33" s="11" t="s">
        <v>48</v>
      </c>
      <c r="K33" s="11" t="s">
        <v>48</v>
      </c>
      <c r="L33" s="11" t="s">
        <v>48</v>
      </c>
      <c r="M33" s="11" t="s">
        <v>48</v>
      </c>
      <c r="N33" s="11" t="s">
        <v>48</v>
      </c>
      <c r="O33" s="11" t="s">
        <v>48</v>
      </c>
    </row>
    <row r="34" spans="1:15" s="8" customFormat="1" ht="12.75" customHeight="1" x14ac:dyDescent="0.25">
      <c r="A34" s="8" t="s">
        <v>151</v>
      </c>
      <c r="B34" s="103">
        <v>22886</v>
      </c>
      <c r="C34" s="103">
        <v>23420</v>
      </c>
      <c r="D34" s="103">
        <v>23607</v>
      </c>
      <c r="E34" s="103">
        <v>21097</v>
      </c>
      <c r="F34" s="103">
        <v>22386</v>
      </c>
      <c r="G34" s="103">
        <v>22644</v>
      </c>
      <c r="H34" s="103">
        <v>21848</v>
      </c>
      <c r="I34" s="103">
        <v>22136</v>
      </c>
      <c r="J34" s="103">
        <f>I39</f>
        <v>97691.063106500005</v>
      </c>
      <c r="K34" s="103">
        <f>J39</f>
        <v>98289.019815280029</v>
      </c>
      <c r="L34" s="103">
        <f>K39</f>
        <v>98845.019815280029</v>
      </c>
      <c r="M34" s="103">
        <f>L39</f>
        <v>96919.019815280029</v>
      </c>
      <c r="N34" s="103">
        <f t="shared" ref="N34:O34" si="8">M39</f>
        <v>92346.019815280029</v>
      </c>
      <c r="O34" s="103">
        <f t="shared" si="8"/>
        <v>90662.019815280029</v>
      </c>
    </row>
    <row r="35" spans="1:15" s="8" customFormat="1" ht="12.75" customHeight="1" x14ac:dyDescent="0.25">
      <c r="A35" s="8" t="s">
        <v>152</v>
      </c>
      <c r="B35" s="103">
        <v>0</v>
      </c>
      <c r="C35" s="103">
        <v>0</v>
      </c>
      <c r="D35" s="103">
        <v>0</v>
      </c>
      <c r="E35" s="103">
        <v>0</v>
      </c>
      <c r="F35" s="103">
        <v>0</v>
      </c>
      <c r="G35" s="103">
        <v>0</v>
      </c>
      <c r="H35" s="103">
        <v>0</v>
      </c>
      <c r="I35" s="103">
        <v>73040</v>
      </c>
      <c r="J35" s="103">
        <v>0</v>
      </c>
      <c r="K35" s="103">
        <v>0</v>
      </c>
      <c r="L35" s="103">
        <v>0</v>
      </c>
      <c r="M35" s="103">
        <v>0</v>
      </c>
      <c r="N35" s="103">
        <v>0</v>
      </c>
      <c r="O35" s="103">
        <v>0</v>
      </c>
    </row>
    <row r="36" spans="1:15" s="8" customFormat="1" ht="12.75" customHeight="1" x14ac:dyDescent="0.25">
      <c r="A36" s="8" t="s">
        <v>153</v>
      </c>
      <c r="B36" s="103">
        <f>-166+(-B37)</f>
        <v>-166</v>
      </c>
      <c r="C36" s="103">
        <f>-145+(-C37)</f>
        <v>-145</v>
      </c>
      <c r="D36" s="103">
        <f>-81+(-D37)</f>
        <v>-81</v>
      </c>
      <c r="E36" s="103">
        <f>-51+(-E37)</f>
        <v>-51</v>
      </c>
      <c r="F36" s="103">
        <f>-62+(-F37)</f>
        <v>-62</v>
      </c>
      <c r="G36" s="103">
        <f>-2168+(-G37)</f>
        <v>-2168</v>
      </c>
      <c r="H36" s="103">
        <f>-506.76626249+(-H37)</f>
        <v>-506.76626248999997</v>
      </c>
      <c r="I36" s="103">
        <f>376.7555061+(-I37)</f>
        <v>428.75550609999999</v>
      </c>
      <c r="J36" s="103">
        <f>-1407.06125533+(-J37)</f>
        <v>-536.06125532999999</v>
      </c>
      <c r="K36" s="103">
        <f>49+(-K37)</f>
        <v>339</v>
      </c>
      <c r="L36" s="103">
        <f>332+(-L37)</f>
        <v>176</v>
      </c>
      <c r="M36" s="103">
        <f>-783+(-M37)</f>
        <v>-634</v>
      </c>
      <c r="N36" s="103">
        <v>117</v>
      </c>
      <c r="O36" s="103">
        <v>-31</v>
      </c>
    </row>
    <row r="37" spans="1:15" s="8" customFormat="1" ht="12.75" customHeight="1" x14ac:dyDescent="0.25">
      <c r="A37" s="8" t="s">
        <v>154</v>
      </c>
      <c r="B37" s="103">
        <v>0</v>
      </c>
      <c r="C37" s="103">
        <v>0</v>
      </c>
      <c r="D37" s="103">
        <v>0</v>
      </c>
      <c r="E37" s="103">
        <v>0</v>
      </c>
      <c r="F37" s="103">
        <v>0</v>
      </c>
      <c r="G37" s="103">
        <v>0</v>
      </c>
      <c r="H37" s="103">
        <v>0</v>
      </c>
      <c r="I37" s="103">
        <f t="shared" ref="I37:N37" si="9">I47</f>
        <v>-52</v>
      </c>
      <c r="J37" s="103">
        <f t="shared" si="9"/>
        <v>-871</v>
      </c>
      <c r="K37" s="103">
        <f t="shared" si="9"/>
        <v>-290</v>
      </c>
      <c r="L37" s="103">
        <f t="shared" si="9"/>
        <v>156</v>
      </c>
      <c r="M37" s="103">
        <f t="shared" si="9"/>
        <v>-149</v>
      </c>
      <c r="N37" s="103">
        <f t="shared" si="9"/>
        <v>-1602</v>
      </c>
      <c r="O37" s="103">
        <f>O47</f>
        <v>0</v>
      </c>
    </row>
    <row r="38" spans="1:15" s="8" customFormat="1" ht="12.75" customHeight="1" x14ac:dyDescent="0.25">
      <c r="A38" s="8" t="s">
        <v>156</v>
      </c>
      <c r="B38" s="103">
        <v>700</v>
      </c>
      <c r="C38" s="103">
        <v>332</v>
      </c>
      <c r="D38" s="103">
        <v>-2429</v>
      </c>
      <c r="E38" s="103">
        <v>1340</v>
      </c>
      <c r="F38" s="103">
        <v>321</v>
      </c>
      <c r="G38" s="103">
        <v>1372</v>
      </c>
      <c r="H38" s="103">
        <v>795.05790564000529</v>
      </c>
      <c r="I38" s="103">
        <v>2138.30760040001</v>
      </c>
      <c r="J38" s="103">
        <v>2005.0179641100194</v>
      </c>
      <c r="K38" s="103">
        <v>507</v>
      </c>
      <c r="L38" s="103">
        <v>-2260</v>
      </c>
      <c r="M38" s="103">
        <f>-3790</f>
        <v>-3790</v>
      </c>
      <c r="N38" s="103">
        <v>-199</v>
      </c>
      <c r="O38" s="103">
        <v>-6843</v>
      </c>
    </row>
    <row r="39" spans="1:15" s="8" customFormat="1" ht="12.75" customHeight="1" thickBot="1" x14ac:dyDescent="0.3">
      <c r="A39" s="12" t="s">
        <v>159</v>
      </c>
      <c r="B39" s="105">
        <v>23420</v>
      </c>
      <c r="C39" s="105">
        <v>23607</v>
      </c>
      <c r="D39" s="105">
        <v>21097</v>
      </c>
      <c r="E39" s="105">
        <v>22386</v>
      </c>
      <c r="F39" s="105">
        <v>22644</v>
      </c>
      <c r="G39" s="105">
        <v>21848</v>
      </c>
      <c r="H39" s="105">
        <v>22136</v>
      </c>
      <c r="I39" s="105">
        <f>SUM(I34:I38)</f>
        <v>97691.063106500005</v>
      </c>
      <c r="J39" s="105">
        <f>SUM(J34:J38)</f>
        <v>98289.019815280029</v>
      </c>
      <c r="K39" s="105">
        <f>SUM(K34:K38)</f>
        <v>98845.019815280029</v>
      </c>
      <c r="L39" s="105">
        <f>SUM(L34:L38)+2</f>
        <v>96919.019815280029</v>
      </c>
      <c r="M39" s="105">
        <f>SUM(M34:M38)</f>
        <v>92346.019815280029</v>
      </c>
      <c r="N39" s="105">
        <f t="shared" ref="N39:O39" si="10">SUM(N34:N38)</f>
        <v>90662.019815280029</v>
      </c>
      <c r="O39" s="105">
        <f t="shared" si="10"/>
        <v>83788.019815280029</v>
      </c>
    </row>
    <row r="40" spans="1:15" s="8" customFormat="1" ht="12.75" customHeight="1" x14ac:dyDescent="0.25">
      <c r="N40" s="106"/>
    </row>
    <row r="41" spans="1:15" s="107" customFormat="1" ht="18" customHeight="1" x14ac:dyDescent="0.25">
      <c r="A41" s="4" t="s">
        <v>163</v>
      </c>
      <c r="B41" s="5"/>
      <c r="C41" s="5"/>
      <c r="D41" s="5"/>
      <c r="E41" s="5"/>
      <c r="F41" s="5"/>
      <c r="G41" s="5"/>
      <c r="H41" s="5"/>
      <c r="I41" s="5"/>
      <c r="J41" s="5"/>
      <c r="K41" s="5"/>
      <c r="L41" s="5"/>
      <c r="M41" s="5"/>
      <c r="N41" s="5"/>
      <c r="O41" s="5"/>
    </row>
    <row r="42" spans="1:15" s="8" customFormat="1" ht="25.5" customHeight="1" x14ac:dyDescent="0.25">
      <c r="A42" s="187" t="s">
        <v>164</v>
      </c>
      <c r="B42" s="187"/>
      <c r="C42" s="187"/>
      <c r="D42" s="187"/>
      <c r="E42" s="187"/>
      <c r="F42" s="187"/>
      <c r="G42" s="187"/>
      <c r="H42" s="187"/>
      <c r="I42" s="187"/>
      <c r="J42" s="187"/>
      <c r="K42" s="187"/>
      <c r="L42" s="187"/>
      <c r="M42" s="187"/>
      <c r="N42" s="187"/>
      <c r="O42" s="187"/>
    </row>
    <row r="43" spans="1:15" s="8" customFormat="1" ht="12.75" customHeight="1" x14ac:dyDescent="0.25">
      <c r="A43" s="35"/>
      <c r="B43" s="108"/>
      <c r="C43" s="22"/>
      <c r="D43" s="22"/>
      <c r="I43" s="13" t="s">
        <v>144</v>
      </c>
      <c r="J43" s="13" t="s">
        <v>145</v>
      </c>
      <c r="K43" s="13" t="s">
        <v>146</v>
      </c>
      <c r="L43" s="13" t="s">
        <v>147</v>
      </c>
      <c r="M43" s="13" t="s">
        <v>148</v>
      </c>
      <c r="N43" s="13" t="s">
        <v>149</v>
      </c>
      <c r="O43" s="13" t="s">
        <v>150</v>
      </c>
    </row>
    <row r="44" spans="1:15" s="8" customFormat="1" ht="12.75" customHeight="1" thickBot="1" x14ac:dyDescent="0.3">
      <c r="A44" s="35"/>
      <c r="B44" s="108"/>
      <c r="C44" s="22"/>
      <c r="D44" s="22"/>
      <c r="E44" s="101"/>
      <c r="I44" s="11" t="s">
        <v>48</v>
      </c>
      <c r="J44" s="11" t="s">
        <v>48</v>
      </c>
      <c r="K44" s="11" t="s">
        <v>48</v>
      </c>
      <c r="L44" s="11" t="s">
        <v>48</v>
      </c>
      <c r="M44" s="11" t="s">
        <v>48</v>
      </c>
      <c r="N44" s="11" t="s">
        <v>48</v>
      </c>
      <c r="O44" s="11" t="s">
        <v>48</v>
      </c>
    </row>
    <row r="45" spans="1:15" s="8" customFormat="1" ht="12.75" customHeight="1" x14ac:dyDescent="0.25">
      <c r="A45" s="8" t="s">
        <v>151</v>
      </c>
      <c r="B45" s="108"/>
      <c r="C45" s="22"/>
      <c r="D45" s="22"/>
      <c r="E45" s="101"/>
      <c r="I45" s="109">
        <v>0</v>
      </c>
      <c r="J45" s="109">
        <f>I50</f>
        <v>11888</v>
      </c>
      <c r="K45" s="109">
        <f>J50</f>
        <v>11170</v>
      </c>
      <c r="L45" s="109">
        <f t="shared" ref="L45:O45" si="11">K50</f>
        <v>11020</v>
      </c>
      <c r="M45" s="109">
        <f t="shared" si="11"/>
        <v>10655</v>
      </c>
      <c r="N45" s="109">
        <f t="shared" si="11"/>
        <v>9693</v>
      </c>
      <c r="O45" s="109">
        <f t="shared" si="11"/>
        <v>7618</v>
      </c>
    </row>
    <row r="46" spans="1:15" s="8" customFormat="1" ht="12.75" customHeight="1" x14ac:dyDescent="0.25">
      <c r="A46" s="8" t="s">
        <v>152</v>
      </c>
      <c r="B46" s="108"/>
      <c r="C46" s="22"/>
      <c r="D46" s="22"/>
      <c r="E46" s="101"/>
      <c r="I46" s="109">
        <v>11728</v>
      </c>
      <c r="J46" s="109">
        <v>0</v>
      </c>
      <c r="K46" s="109">
        <v>0</v>
      </c>
      <c r="L46" s="109">
        <v>0</v>
      </c>
      <c r="M46" s="109">
        <v>0</v>
      </c>
      <c r="N46" s="109">
        <v>0</v>
      </c>
      <c r="O46" s="109">
        <v>0</v>
      </c>
    </row>
    <row r="47" spans="1:15" s="8" customFormat="1" ht="12.75" customHeight="1" x14ac:dyDescent="0.25">
      <c r="A47" s="8" t="s">
        <v>161</v>
      </c>
      <c r="B47" s="101"/>
      <c r="C47" s="101"/>
      <c r="D47" s="101"/>
      <c r="E47" s="101"/>
      <c r="I47" s="109">
        <v>-52</v>
      </c>
      <c r="J47" s="109">
        <v>-871</v>
      </c>
      <c r="K47" s="109">
        <v>-290</v>
      </c>
      <c r="L47" s="109">
        <v>156</v>
      </c>
      <c r="M47" s="109">
        <v>-149</v>
      </c>
      <c r="N47" s="109">
        <v>-1602</v>
      </c>
      <c r="O47" s="109">
        <v>0</v>
      </c>
    </row>
    <row r="48" spans="1:15" s="8" customFormat="1" ht="12.75" customHeight="1" x14ac:dyDescent="0.25">
      <c r="A48" s="8" t="s">
        <v>156</v>
      </c>
      <c r="B48" s="101"/>
      <c r="C48" s="101"/>
      <c r="D48" s="101"/>
      <c r="E48" s="101"/>
      <c r="I48" s="109">
        <v>212</v>
      </c>
      <c r="J48" s="109">
        <v>153</v>
      </c>
      <c r="K48" s="109">
        <v>140</v>
      </c>
      <c r="L48" s="109">
        <v>-521</v>
      </c>
      <c r="M48" s="109">
        <v>-813</v>
      </c>
      <c r="N48" s="109">
        <v>-473</v>
      </c>
      <c r="O48" s="109">
        <v>0</v>
      </c>
    </row>
    <row r="49" spans="1:15" s="8" customFormat="1" ht="12.75" customHeight="1" x14ac:dyDescent="0.25">
      <c r="A49" s="8" t="s">
        <v>165</v>
      </c>
      <c r="B49" s="101"/>
      <c r="C49" s="101"/>
      <c r="D49" s="101"/>
      <c r="E49" s="101"/>
      <c r="I49" s="109">
        <v>0</v>
      </c>
      <c r="J49" s="109">
        <v>0</v>
      </c>
      <c r="K49" s="109">
        <v>0</v>
      </c>
      <c r="L49" s="109">
        <v>0</v>
      </c>
      <c r="M49" s="109">
        <v>0</v>
      </c>
      <c r="N49" s="109">
        <v>0</v>
      </c>
      <c r="O49" s="109">
        <v>-7618</v>
      </c>
    </row>
    <row r="50" spans="1:15" s="8" customFormat="1" ht="12.75" customHeight="1" thickBot="1" x14ac:dyDescent="0.3">
      <c r="A50" s="12" t="s">
        <v>159</v>
      </c>
      <c r="H50" s="110"/>
      <c r="I50" s="105">
        <f t="shared" ref="I50:N50" si="12">SUM(I45:I49)</f>
        <v>11888</v>
      </c>
      <c r="J50" s="105">
        <f t="shared" si="12"/>
        <v>11170</v>
      </c>
      <c r="K50" s="105">
        <f t="shared" si="12"/>
        <v>11020</v>
      </c>
      <c r="L50" s="105">
        <f t="shared" si="12"/>
        <v>10655</v>
      </c>
      <c r="M50" s="105">
        <f t="shared" si="12"/>
        <v>9693</v>
      </c>
      <c r="N50" s="105">
        <f t="shared" si="12"/>
        <v>7618</v>
      </c>
      <c r="O50" s="105">
        <f>SUM(O45:O49)</f>
        <v>0</v>
      </c>
    </row>
    <row r="51" spans="1:15" s="8" customFormat="1" ht="12.75" customHeight="1" x14ac:dyDescent="0.25">
      <c r="A51" s="12"/>
      <c r="H51" s="110"/>
      <c r="I51" s="110"/>
      <c r="J51" s="110"/>
      <c r="K51" s="110"/>
      <c r="L51" s="110"/>
      <c r="M51" s="110"/>
      <c r="N51" s="110"/>
      <c r="O51" s="110"/>
    </row>
    <row r="52" spans="1:15" s="107" customFormat="1" ht="18" customHeight="1" x14ac:dyDescent="0.25">
      <c r="A52" s="4" t="s">
        <v>166</v>
      </c>
      <c r="B52" s="5"/>
      <c r="C52" s="5"/>
      <c r="D52" s="5"/>
      <c r="E52" s="5"/>
      <c r="F52" s="5"/>
      <c r="G52" s="5"/>
      <c r="H52" s="5"/>
      <c r="I52" s="5"/>
      <c r="J52" s="5"/>
      <c r="K52" s="5"/>
      <c r="L52" s="5"/>
      <c r="M52" s="5"/>
      <c r="N52" s="5"/>
      <c r="O52" s="5"/>
    </row>
    <row r="53" spans="1:15" s="107" customFormat="1" ht="12.75" customHeight="1" x14ac:dyDescent="0.25">
      <c r="A53" s="187" t="s">
        <v>108</v>
      </c>
      <c r="B53" s="187"/>
      <c r="C53" s="187"/>
      <c r="D53" s="187"/>
      <c r="E53" s="187"/>
      <c r="F53" s="187"/>
      <c r="G53" s="187"/>
      <c r="H53" s="187"/>
      <c r="I53" s="187"/>
      <c r="J53" s="187"/>
      <c r="K53" s="187"/>
      <c r="L53" s="187"/>
      <c r="M53" s="187"/>
      <c r="N53" s="187"/>
      <c r="O53" s="187"/>
    </row>
    <row r="54" spans="1:15" s="107" customFormat="1" ht="12.75" customHeight="1" x14ac:dyDescent="0.25">
      <c r="A54" s="8"/>
      <c r="B54" s="13"/>
      <c r="C54" s="13"/>
      <c r="D54" s="13"/>
      <c r="E54" s="13"/>
      <c r="F54" s="13" t="s">
        <v>141</v>
      </c>
      <c r="G54" s="13" t="s">
        <v>142</v>
      </c>
      <c r="H54" s="13" t="s">
        <v>143</v>
      </c>
      <c r="I54" s="13" t="s">
        <v>144</v>
      </c>
      <c r="J54" s="13" t="s">
        <v>145</v>
      </c>
      <c r="K54" s="13" t="s">
        <v>146</v>
      </c>
      <c r="L54" s="13" t="s">
        <v>147</v>
      </c>
      <c r="M54" s="13" t="s">
        <v>148</v>
      </c>
      <c r="N54" s="13" t="s">
        <v>149</v>
      </c>
      <c r="O54" s="13" t="s">
        <v>150</v>
      </c>
    </row>
    <row r="55" spans="1:15" s="107" customFormat="1" ht="12.75" customHeight="1" thickBot="1" x14ac:dyDescent="0.3">
      <c r="A55" s="8"/>
      <c r="B55" s="13"/>
      <c r="C55" s="13"/>
      <c r="D55" s="13"/>
      <c r="E55" s="13"/>
      <c r="F55" s="11" t="s">
        <v>48</v>
      </c>
      <c r="G55" s="11" t="s">
        <v>48</v>
      </c>
      <c r="H55" s="11" t="s">
        <v>48</v>
      </c>
      <c r="I55" s="11" t="s">
        <v>48</v>
      </c>
      <c r="J55" s="11" t="s">
        <v>48</v>
      </c>
      <c r="K55" s="11" t="s">
        <v>48</v>
      </c>
      <c r="L55" s="11" t="s">
        <v>48</v>
      </c>
      <c r="M55" s="11" t="s">
        <v>48</v>
      </c>
      <c r="N55" s="11" t="s">
        <v>48</v>
      </c>
      <c r="O55" s="11" t="s">
        <v>48</v>
      </c>
    </row>
    <row r="56" spans="1:15" s="107" customFormat="1" ht="12.75" customHeight="1" x14ac:dyDescent="0.25">
      <c r="A56" s="8" t="s">
        <v>151</v>
      </c>
      <c r="B56" s="111"/>
      <c r="C56" s="111"/>
      <c r="D56" s="111"/>
      <c r="E56" s="111"/>
      <c r="F56" s="109">
        <v>6573</v>
      </c>
      <c r="G56" s="109">
        <v>6590</v>
      </c>
      <c r="H56" s="109">
        <v>6967</v>
      </c>
      <c r="I56" s="109">
        <v>7173</v>
      </c>
      <c r="J56" s="109">
        <v>7343</v>
      </c>
      <c r="K56" s="109">
        <v>7415</v>
      </c>
      <c r="L56" s="109">
        <v>7554</v>
      </c>
      <c r="M56" s="111">
        <v>7370</v>
      </c>
      <c r="N56" s="111">
        <f t="shared" ref="N56:O56" si="13">M61</f>
        <v>6938</v>
      </c>
      <c r="O56" s="111">
        <f t="shared" si="13"/>
        <v>6907</v>
      </c>
    </row>
    <row r="57" spans="1:15" s="107" customFormat="1" ht="12.75" customHeight="1" x14ac:dyDescent="0.25">
      <c r="A57" s="8" t="s">
        <v>161</v>
      </c>
      <c r="B57" s="111"/>
      <c r="C57" s="111"/>
      <c r="D57" s="111"/>
      <c r="E57" s="111"/>
      <c r="F57" s="109">
        <v>-44</v>
      </c>
      <c r="G57" s="109">
        <v>2</v>
      </c>
      <c r="H57" s="109">
        <v>22</v>
      </c>
      <c r="I57" s="109">
        <v>-23</v>
      </c>
      <c r="J57" s="109">
        <v>-47</v>
      </c>
      <c r="K57" s="109">
        <v>98</v>
      </c>
      <c r="L57" s="109">
        <v>-124</v>
      </c>
      <c r="M57" s="111">
        <v>-6</v>
      </c>
      <c r="N57" s="109">
        <v>11</v>
      </c>
      <c r="O57" s="109">
        <v>0</v>
      </c>
    </row>
    <row r="58" spans="1:15" s="107" customFormat="1" ht="12.75" customHeight="1" x14ac:dyDescent="0.25">
      <c r="A58" s="8" t="s">
        <v>155</v>
      </c>
      <c r="B58" s="111"/>
      <c r="C58" s="111"/>
      <c r="D58" s="111"/>
      <c r="E58" s="111"/>
      <c r="F58" s="109">
        <v>-6</v>
      </c>
      <c r="G58" s="109">
        <v>-6</v>
      </c>
      <c r="H58" s="109">
        <v>-7</v>
      </c>
      <c r="I58" s="109">
        <v>-8</v>
      </c>
      <c r="J58" s="109">
        <v>-7</v>
      </c>
      <c r="K58" s="109">
        <v>-14</v>
      </c>
      <c r="L58" s="109">
        <v>-10</v>
      </c>
      <c r="M58" s="111">
        <v>-9</v>
      </c>
      <c r="N58" s="109">
        <v>-6</v>
      </c>
      <c r="O58" s="109">
        <v>0</v>
      </c>
    </row>
    <row r="59" spans="1:15" s="107" customFormat="1" ht="12.75" customHeight="1" x14ac:dyDescent="0.25">
      <c r="A59" s="8" t="s">
        <v>156</v>
      </c>
      <c r="B59" s="111"/>
      <c r="C59" s="111"/>
      <c r="D59" s="111"/>
      <c r="E59" s="111"/>
      <c r="F59" s="109">
        <v>67</v>
      </c>
      <c r="G59" s="109">
        <v>381</v>
      </c>
      <c r="H59" s="109">
        <v>191</v>
      </c>
      <c r="I59" s="109">
        <v>201</v>
      </c>
      <c r="J59" s="109">
        <v>126</v>
      </c>
      <c r="K59" s="109">
        <v>55</v>
      </c>
      <c r="L59" s="109">
        <v>-50</v>
      </c>
      <c r="M59" s="111">
        <v>-417</v>
      </c>
      <c r="N59" s="109">
        <v>-36</v>
      </c>
      <c r="O59" s="109">
        <v>0</v>
      </c>
    </row>
    <row r="60" spans="1:15" s="107" customFormat="1" ht="12.75" customHeight="1" x14ac:dyDescent="0.25">
      <c r="A60" s="8" t="s">
        <v>167</v>
      </c>
      <c r="B60" s="111"/>
      <c r="C60" s="111"/>
      <c r="D60" s="111"/>
      <c r="E60" s="111"/>
      <c r="F60" s="109">
        <v>0</v>
      </c>
      <c r="G60" s="109">
        <v>0</v>
      </c>
      <c r="H60" s="109">
        <v>0</v>
      </c>
      <c r="I60" s="109">
        <v>0</v>
      </c>
      <c r="J60" s="109">
        <v>0</v>
      </c>
      <c r="K60" s="109">
        <v>0</v>
      </c>
      <c r="L60" s="109">
        <v>0</v>
      </c>
      <c r="M60" s="111">
        <v>0</v>
      </c>
      <c r="N60" s="111">
        <v>0</v>
      </c>
      <c r="O60" s="111">
        <v>-6907</v>
      </c>
    </row>
    <row r="61" spans="1:15" s="107" customFormat="1" ht="12.75" customHeight="1" thickBot="1" x14ac:dyDescent="0.3">
      <c r="A61" s="12" t="s">
        <v>159</v>
      </c>
      <c r="B61" s="110"/>
      <c r="C61" s="110"/>
      <c r="D61" s="110"/>
      <c r="E61" s="110"/>
      <c r="F61" s="105">
        <f>SUM(F56:F60)</f>
        <v>6590</v>
      </c>
      <c r="G61" s="105">
        <f t="shared" ref="G61:O61" si="14">SUM(G56:G60)</f>
        <v>6967</v>
      </c>
      <c r="H61" s="105">
        <f t="shared" si="14"/>
        <v>7173</v>
      </c>
      <c r="I61" s="105">
        <f t="shared" si="14"/>
        <v>7343</v>
      </c>
      <c r="J61" s="105">
        <f t="shared" si="14"/>
        <v>7415</v>
      </c>
      <c r="K61" s="105">
        <f t="shared" si="14"/>
        <v>7554</v>
      </c>
      <c r="L61" s="105">
        <f t="shared" si="14"/>
        <v>7370</v>
      </c>
      <c r="M61" s="105">
        <f t="shared" si="14"/>
        <v>6938</v>
      </c>
      <c r="N61" s="105">
        <f t="shared" si="14"/>
        <v>6907</v>
      </c>
      <c r="O61" s="105">
        <f t="shared" si="14"/>
        <v>0</v>
      </c>
    </row>
    <row r="62" spans="1:15" s="107" customFormat="1" ht="12.75" customHeight="1" x14ac:dyDescent="0.25">
      <c r="A62" s="12"/>
      <c r="B62" s="110"/>
      <c r="C62" s="110"/>
      <c r="D62" s="110"/>
      <c r="E62" s="110"/>
      <c r="F62" s="110"/>
      <c r="G62" s="110"/>
      <c r="H62" s="110"/>
      <c r="I62" s="110"/>
      <c r="J62" s="110"/>
      <c r="K62" s="110"/>
      <c r="L62" s="110"/>
      <c r="M62" s="110"/>
      <c r="N62" s="110"/>
      <c r="O62" s="110"/>
    </row>
    <row r="63" spans="1:15" s="107" customFormat="1" ht="18" customHeight="1" x14ac:dyDescent="0.25">
      <c r="A63" s="4" t="s">
        <v>168</v>
      </c>
      <c r="B63" s="5"/>
      <c r="C63" s="5"/>
      <c r="D63" s="5"/>
      <c r="E63" s="5"/>
      <c r="F63" s="5"/>
      <c r="G63" s="5"/>
      <c r="H63" s="5"/>
      <c r="I63" s="5"/>
      <c r="J63" s="5"/>
      <c r="K63" s="5"/>
      <c r="L63" s="5"/>
      <c r="M63" s="5"/>
      <c r="N63" s="5"/>
      <c r="O63" s="5"/>
    </row>
    <row r="64" spans="1:15" s="107" customFormat="1" ht="12.75" customHeight="1" x14ac:dyDescent="0.25">
      <c r="A64" s="112" t="s">
        <v>108</v>
      </c>
      <c r="B64" s="8"/>
      <c r="C64" s="8"/>
      <c r="D64" s="8"/>
      <c r="E64" s="8"/>
      <c r="F64" s="8"/>
      <c r="G64" s="8"/>
      <c r="H64" s="8"/>
      <c r="I64" s="8"/>
      <c r="J64" s="8"/>
      <c r="K64" s="8"/>
      <c r="L64" s="8"/>
      <c r="M64" s="8"/>
      <c r="N64" s="8"/>
    </row>
    <row r="65" spans="1:15" customFormat="1" ht="12.75" customHeight="1" x14ac:dyDescent="0.25">
      <c r="A65" s="6"/>
      <c r="B65" s="113" t="s">
        <v>137</v>
      </c>
      <c r="C65" s="113" t="s">
        <v>138</v>
      </c>
      <c r="D65" s="113" t="s">
        <v>139</v>
      </c>
      <c r="E65" s="113" t="s">
        <v>140</v>
      </c>
      <c r="F65" s="113"/>
      <c r="G65" s="113"/>
      <c r="H65" s="113"/>
      <c r="I65" s="113"/>
      <c r="J65" s="113"/>
      <c r="K65" s="113"/>
      <c r="L65" s="113"/>
      <c r="M65" s="113"/>
      <c r="N65" s="114"/>
    </row>
    <row r="66" spans="1:15" customFormat="1" ht="12.75" customHeight="1" thickBot="1" x14ac:dyDescent="0.3">
      <c r="A66" s="6"/>
      <c r="B66" s="115" t="s">
        <v>48</v>
      </c>
      <c r="C66" s="115" t="s">
        <v>48</v>
      </c>
      <c r="D66" s="115" t="s">
        <v>48</v>
      </c>
      <c r="E66" s="115" t="s">
        <v>48</v>
      </c>
      <c r="F66" s="113"/>
      <c r="G66" s="113"/>
      <c r="H66" s="113"/>
      <c r="I66" s="113"/>
      <c r="J66" s="113"/>
      <c r="K66" s="113"/>
      <c r="L66" s="113"/>
      <c r="M66" s="113"/>
      <c r="N66" s="114"/>
    </row>
    <row r="67" spans="1:15" customFormat="1" ht="12.75" customHeight="1" x14ac:dyDescent="0.25">
      <c r="A67" s="6" t="s">
        <v>151</v>
      </c>
      <c r="B67" s="116">
        <v>620</v>
      </c>
      <c r="C67" s="116">
        <v>613</v>
      </c>
      <c r="D67" s="116">
        <v>623</v>
      </c>
      <c r="E67" s="116">
        <v>553</v>
      </c>
      <c r="F67" s="117"/>
      <c r="G67" s="117"/>
      <c r="H67" s="117"/>
      <c r="I67" s="117"/>
      <c r="J67" s="117"/>
      <c r="K67" s="117"/>
      <c r="L67" s="117"/>
      <c r="M67" s="117"/>
      <c r="N67" s="114"/>
    </row>
    <row r="68" spans="1:15" customFormat="1" ht="12.75" customHeight="1" x14ac:dyDescent="0.25">
      <c r="A68" s="6" t="s">
        <v>161</v>
      </c>
      <c r="B68" s="116">
        <v>-14</v>
      </c>
      <c r="C68" s="116">
        <v>-8</v>
      </c>
      <c r="D68" s="116">
        <v>-11</v>
      </c>
      <c r="E68" s="116">
        <v>0</v>
      </c>
      <c r="F68" s="117"/>
      <c r="G68" s="117"/>
      <c r="H68" s="117"/>
      <c r="I68" s="117"/>
      <c r="J68" s="117"/>
      <c r="K68" s="117"/>
      <c r="L68" s="117"/>
      <c r="M68" s="117"/>
      <c r="N68" s="114"/>
    </row>
    <row r="69" spans="1:15" customFormat="1" ht="12.75" customHeight="1" x14ac:dyDescent="0.25">
      <c r="A69" s="6" t="s">
        <v>156</v>
      </c>
      <c r="B69" s="116">
        <v>7</v>
      </c>
      <c r="C69" s="116">
        <v>18</v>
      </c>
      <c r="D69" s="116">
        <v>-59</v>
      </c>
      <c r="E69" s="116">
        <v>0</v>
      </c>
      <c r="F69" s="117"/>
      <c r="G69" s="117"/>
      <c r="H69" s="117"/>
      <c r="I69" s="117"/>
      <c r="J69" s="117"/>
      <c r="K69" s="117"/>
      <c r="L69" s="117"/>
      <c r="M69" s="117"/>
      <c r="N69" s="114"/>
    </row>
    <row r="70" spans="1:15" customFormat="1" ht="12.75" customHeight="1" x14ac:dyDescent="0.25">
      <c r="A70" s="6" t="s">
        <v>167</v>
      </c>
      <c r="B70" s="116">
        <v>0</v>
      </c>
      <c r="C70" s="116">
        <v>0</v>
      </c>
      <c r="D70" s="116">
        <v>0</v>
      </c>
      <c r="E70" s="116">
        <v>-553</v>
      </c>
      <c r="F70" s="117"/>
      <c r="G70" s="117"/>
      <c r="H70" s="117"/>
      <c r="I70" s="117"/>
      <c r="J70" s="117"/>
      <c r="K70" s="117"/>
      <c r="L70" s="117"/>
      <c r="M70" s="117"/>
      <c r="N70" s="114"/>
    </row>
    <row r="71" spans="1:15" customFormat="1" ht="12.75" customHeight="1" thickBot="1" x14ac:dyDescent="0.3">
      <c r="A71" s="85" t="s">
        <v>159</v>
      </c>
      <c r="B71" s="105">
        <v>613</v>
      </c>
      <c r="C71" s="105">
        <v>623</v>
      </c>
      <c r="D71" s="105">
        <v>553</v>
      </c>
      <c r="E71" s="105">
        <v>0</v>
      </c>
      <c r="F71" s="118"/>
      <c r="G71" s="118"/>
      <c r="H71" s="118"/>
      <c r="I71" s="118"/>
      <c r="J71" s="118"/>
      <c r="K71" s="118"/>
      <c r="L71" s="118"/>
      <c r="M71" s="118"/>
      <c r="N71" s="114"/>
    </row>
    <row r="72" spans="1:15" customFormat="1" ht="12.75" customHeight="1" x14ac:dyDescent="0.25">
      <c r="A72" s="85"/>
      <c r="B72" s="118"/>
      <c r="C72" s="118"/>
      <c r="D72" s="118"/>
      <c r="E72" s="118"/>
      <c r="F72" s="118"/>
      <c r="G72" s="118"/>
      <c r="H72" s="118"/>
      <c r="I72" s="118"/>
      <c r="J72" s="118"/>
      <c r="K72" s="118"/>
      <c r="L72" s="118"/>
      <c r="M72" s="118"/>
      <c r="N72" s="114"/>
    </row>
    <row r="73" spans="1:15" s="107" customFormat="1" ht="12.75" customHeight="1" x14ac:dyDescent="0.25">
      <c r="A73" s="12"/>
      <c r="B73" s="110"/>
      <c r="C73" s="110"/>
      <c r="D73" s="110"/>
      <c r="E73" s="110"/>
      <c r="F73" s="110"/>
      <c r="G73" s="119"/>
      <c r="H73" s="119"/>
      <c r="I73" s="119"/>
      <c r="J73" s="119"/>
      <c r="K73" s="119"/>
      <c r="L73" s="119"/>
      <c r="M73" s="119"/>
      <c r="N73" s="120"/>
      <c r="O73" s="8"/>
    </row>
    <row r="74" spans="1:15" s="8" customFormat="1" ht="12.75" customHeight="1" x14ac:dyDescent="0.25">
      <c r="A74" s="107"/>
      <c r="B74" s="107"/>
      <c r="C74" s="107"/>
      <c r="D74" s="107"/>
      <c r="E74" s="107"/>
      <c r="F74" s="107"/>
      <c r="G74" s="107"/>
      <c r="H74" s="107"/>
      <c r="I74" s="107"/>
      <c r="J74" s="107"/>
      <c r="K74" s="107"/>
      <c r="L74" s="107"/>
      <c r="M74" s="107"/>
      <c r="N74" s="107"/>
      <c r="O74" s="107"/>
    </row>
    <row r="75" spans="1:15" s="8" customFormat="1" ht="12.75" customHeight="1" x14ac:dyDescent="0.25">
      <c r="N75" s="106"/>
    </row>
    <row r="76" spans="1:15" s="8" customFormat="1" ht="12.75" customHeight="1" x14ac:dyDescent="0.25">
      <c r="N76" s="106"/>
    </row>
    <row r="77" spans="1:15" s="8" customFormat="1" ht="12.75" customHeight="1" x14ac:dyDescent="0.25">
      <c r="N77" s="106"/>
    </row>
  </sheetData>
  <mergeCells count="5">
    <mergeCell ref="A4:I4"/>
    <mergeCell ref="A18:I18"/>
    <mergeCell ref="A31:C31"/>
    <mergeCell ref="A42:O42"/>
    <mergeCell ref="A53:O53"/>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rowBreaks count="1" manualBreakCount="1">
    <brk id="40"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87EE4-0542-4101-8501-FE94C230EFE8}">
  <sheetPr>
    <pageSetUpPr fitToPage="1"/>
  </sheetPr>
  <dimension ref="A1:R27"/>
  <sheetViews>
    <sheetView showGridLines="0" zoomScaleNormal="100" zoomScaleSheetLayoutView="100" workbookViewId="0"/>
  </sheetViews>
  <sheetFormatPr defaultColWidth="9.140625" defaultRowHeight="12.75" customHeight="1" x14ac:dyDescent="0.2"/>
  <cols>
    <col min="1" max="1" width="78.7109375" style="6" customWidth="1"/>
    <col min="2" max="8" width="9.5703125" style="6" customWidth="1"/>
    <col min="9" max="9" width="2.5703125" style="6" customWidth="1"/>
    <col min="10" max="11" width="9.5703125" style="6" customWidth="1"/>
    <col min="12" max="12" width="6.140625" style="6" customWidth="1"/>
    <col min="13" max="16384" width="9.140625" style="6"/>
  </cols>
  <sheetData>
    <row r="1" spans="1:18" s="3" customFormat="1" ht="27.95" customHeight="1" x14ac:dyDescent="0.25">
      <c r="A1" s="1" t="s">
        <v>0</v>
      </c>
      <c r="B1" s="2"/>
      <c r="C1" s="2"/>
      <c r="D1" s="2"/>
      <c r="E1" s="2"/>
      <c r="F1" s="2"/>
      <c r="G1" s="2"/>
      <c r="H1" s="2"/>
      <c r="I1" s="2"/>
      <c r="J1" s="2"/>
      <c r="K1" s="2"/>
      <c r="L1" s="2"/>
      <c r="R1"/>
    </row>
    <row r="2" spans="1:18" s="10" customFormat="1" ht="12.75" customHeight="1" x14ac:dyDescent="0.2"/>
    <row r="3" spans="1:18" s="3" customFormat="1" ht="18" customHeight="1" x14ac:dyDescent="0.25">
      <c r="A3" s="4" t="s">
        <v>169</v>
      </c>
      <c r="B3" s="5"/>
      <c r="C3" s="5"/>
      <c r="D3" s="5"/>
      <c r="E3" s="5"/>
      <c r="F3" s="5"/>
      <c r="G3" s="5"/>
      <c r="H3" s="5"/>
      <c r="I3" s="5"/>
      <c r="J3" s="5"/>
      <c r="K3" s="5"/>
      <c r="L3" s="5"/>
    </row>
    <row r="4" spans="1:18" ht="12.75" customHeight="1" x14ac:dyDescent="0.2">
      <c r="A4" s="112" t="s">
        <v>108</v>
      </c>
    </row>
    <row r="5" spans="1:18" s="8" customFormat="1" ht="12.75" customHeight="1" x14ac:dyDescent="0.25">
      <c r="B5" s="13" t="s">
        <v>6</v>
      </c>
      <c r="C5" s="13" t="s">
        <v>7</v>
      </c>
      <c r="D5" s="13" t="s">
        <v>8</v>
      </c>
      <c r="E5" s="13" t="s">
        <v>9</v>
      </c>
      <c r="F5" s="13" t="s">
        <v>10</v>
      </c>
      <c r="G5" s="13" t="s">
        <v>11</v>
      </c>
      <c r="H5" s="13" t="s">
        <v>12</v>
      </c>
      <c r="I5" s="13"/>
      <c r="J5" s="13"/>
    </row>
    <row r="6" spans="1:18" s="8" customFormat="1" ht="12.75" customHeight="1" thickBot="1" x14ac:dyDescent="0.3">
      <c r="B6" s="11" t="s">
        <v>48</v>
      </c>
      <c r="C6" s="11" t="s">
        <v>48</v>
      </c>
      <c r="D6" s="11" t="s">
        <v>48</v>
      </c>
      <c r="E6" s="11" t="s">
        <v>48</v>
      </c>
      <c r="F6" s="11" t="s">
        <v>48</v>
      </c>
      <c r="G6" s="11" t="s">
        <v>48</v>
      </c>
      <c r="H6" s="11" t="s">
        <v>48</v>
      </c>
      <c r="I6" s="13"/>
      <c r="J6" s="13"/>
    </row>
    <row r="7" spans="1:18" s="8" customFormat="1" ht="12.75" customHeight="1" x14ac:dyDescent="0.25">
      <c r="A7" s="8" t="s">
        <v>151</v>
      </c>
      <c r="B7" s="38">
        <v>391.97468600000002</v>
      </c>
      <c r="C7" s="38">
        <f>B13</f>
        <v>376.52825687000001</v>
      </c>
      <c r="D7" s="38">
        <f t="shared" ref="D7:H7" si="0">C13</f>
        <v>432.67414827999994</v>
      </c>
      <c r="E7" s="38">
        <f t="shared" si="0"/>
        <v>409.52860026999997</v>
      </c>
      <c r="F7" s="38">
        <f t="shared" si="0"/>
        <v>377.21628481999994</v>
      </c>
      <c r="G7" s="38">
        <f t="shared" si="0"/>
        <v>339.81628481999996</v>
      </c>
      <c r="H7" s="38">
        <f t="shared" si="0"/>
        <v>191.81628481999996</v>
      </c>
    </row>
    <row r="8" spans="1:18" s="8" customFormat="1" ht="12.75" customHeight="1" x14ac:dyDescent="0.25">
      <c r="A8" s="15" t="s">
        <v>170</v>
      </c>
      <c r="B8" s="38">
        <v>0</v>
      </c>
      <c r="C8" s="38">
        <v>0</v>
      </c>
      <c r="D8" s="38">
        <v>0</v>
      </c>
      <c r="E8" s="38">
        <v>0</v>
      </c>
      <c r="F8" s="38">
        <v>-3</v>
      </c>
      <c r="G8" s="38">
        <v>0</v>
      </c>
      <c r="H8" s="38">
        <v>0</v>
      </c>
    </row>
    <row r="9" spans="1:18" s="8" customFormat="1" ht="12.75" customHeight="1" x14ac:dyDescent="0.25">
      <c r="A9" s="15" t="s">
        <v>171</v>
      </c>
      <c r="B9" s="38">
        <v>0</v>
      </c>
      <c r="C9" s="38">
        <v>80.394999999999996</v>
      </c>
      <c r="D9" s="38">
        <v>13.668248999999999</v>
      </c>
      <c r="E9" s="38">
        <v>44.4</v>
      </c>
      <c r="F9" s="38">
        <v>19.899999999999999</v>
      </c>
      <c r="G9" s="38">
        <v>42.500000000000007</v>
      </c>
      <c r="H9" s="38">
        <v>25.9</v>
      </c>
    </row>
    <row r="10" spans="1:18" s="8" customFormat="1" ht="12.75" customHeight="1" x14ac:dyDescent="0.25">
      <c r="A10" s="12" t="s">
        <v>172</v>
      </c>
      <c r="B10" s="38"/>
      <c r="C10" s="38"/>
      <c r="D10" s="38"/>
      <c r="E10" s="38"/>
      <c r="F10" s="38"/>
      <c r="G10" s="38"/>
      <c r="H10" s="38"/>
    </row>
    <row r="11" spans="1:18" s="8" customFormat="1" ht="12.75" customHeight="1" x14ac:dyDescent="0.25">
      <c r="A11" s="15" t="s">
        <v>173</v>
      </c>
      <c r="B11" s="38">
        <v>-6.0835368299999999</v>
      </c>
      <c r="C11" s="38">
        <v>-8.319053610000001</v>
      </c>
      <c r="D11" s="38">
        <v>-23.167604219999991</v>
      </c>
      <c r="E11" s="38">
        <v>-62</v>
      </c>
      <c r="F11" s="38">
        <v>-26.9</v>
      </c>
      <c r="G11" s="38">
        <v>-159.29999999999998</v>
      </c>
      <c r="H11" s="38">
        <v>-89.6</v>
      </c>
    </row>
    <row r="12" spans="1:18" s="8" customFormat="1" ht="12.75" customHeight="1" x14ac:dyDescent="0.25">
      <c r="A12" s="15" t="s">
        <v>174</v>
      </c>
      <c r="B12" s="38">
        <v>-9.3628923000000004</v>
      </c>
      <c r="C12" s="38">
        <v>-15.930054980000001</v>
      </c>
      <c r="D12" s="38">
        <v>-13.646192790000001</v>
      </c>
      <c r="E12" s="38">
        <v>-14.712315449999998</v>
      </c>
      <c r="F12" s="38">
        <v>-27.4</v>
      </c>
      <c r="G12" s="38">
        <v>-31.200000000000003</v>
      </c>
      <c r="H12" s="38">
        <v>-19</v>
      </c>
    </row>
    <row r="13" spans="1:18" s="8" customFormat="1" ht="12.75" customHeight="1" thickBot="1" x14ac:dyDescent="0.3">
      <c r="A13" s="12" t="s">
        <v>159</v>
      </c>
      <c r="B13" s="50">
        <f t="shared" ref="B13:H13" si="1">SUM(B7:B12)</f>
        <v>376.52825687000001</v>
      </c>
      <c r="C13" s="50">
        <f t="shared" si="1"/>
        <v>432.67414827999994</v>
      </c>
      <c r="D13" s="50">
        <f t="shared" si="1"/>
        <v>409.52860026999997</v>
      </c>
      <c r="E13" s="50">
        <f t="shared" si="1"/>
        <v>377.21628481999994</v>
      </c>
      <c r="F13" s="50">
        <f t="shared" si="1"/>
        <v>339.81628481999996</v>
      </c>
      <c r="G13" s="50">
        <f t="shared" si="1"/>
        <v>191.81628481999996</v>
      </c>
      <c r="H13" s="50">
        <f t="shared" si="1"/>
        <v>109.11628481999998</v>
      </c>
    </row>
    <row r="14" spans="1:18" s="8" customFormat="1" ht="12.75" customHeight="1" x14ac:dyDescent="0.25"/>
    <row r="15" spans="1:18" s="8" customFormat="1" ht="12.75" customHeight="1" x14ac:dyDescent="0.25">
      <c r="A15" s="112" t="s">
        <v>175</v>
      </c>
    </row>
    <row r="16" spans="1:18" s="8" customFormat="1" ht="12.75" customHeight="1" x14ac:dyDescent="0.25">
      <c r="A16" s="112"/>
    </row>
    <row r="17" spans="1:12" s="3" customFormat="1" ht="18" customHeight="1" x14ac:dyDescent="0.25">
      <c r="A17" s="4" t="s">
        <v>176</v>
      </c>
      <c r="B17" s="5"/>
      <c r="C17" s="5"/>
      <c r="D17" s="5"/>
      <c r="E17" s="5"/>
      <c r="F17" s="5"/>
      <c r="G17" s="5"/>
      <c r="H17" s="5"/>
      <c r="I17" s="5"/>
      <c r="J17" s="5"/>
      <c r="K17" s="5"/>
      <c r="L17" s="5"/>
    </row>
    <row r="18" spans="1:12" ht="12.75" customHeight="1" x14ac:dyDescent="0.2">
      <c r="A18" s="189" t="s">
        <v>108</v>
      </c>
      <c r="B18" s="189"/>
      <c r="C18" s="189"/>
      <c r="D18" s="189"/>
      <c r="E18" s="189"/>
      <c r="F18" s="189"/>
      <c r="G18" s="189"/>
    </row>
    <row r="19" spans="1:12" s="8" customFormat="1" ht="12.75" customHeight="1" x14ac:dyDescent="0.25">
      <c r="B19" s="13"/>
      <c r="C19" s="13" t="s">
        <v>7</v>
      </c>
      <c r="D19" s="13" t="s">
        <v>8</v>
      </c>
      <c r="E19" s="13" t="s">
        <v>9</v>
      </c>
      <c r="F19" s="13" t="s">
        <v>10</v>
      </c>
      <c r="G19" s="13" t="s">
        <v>11</v>
      </c>
      <c r="H19" s="13" t="s">
        <v>12</v>
      </c>
      <c r="I19" s="13"/>
      <c r="J19" s="13"/>
    </row>
    <row r="20" spans="1:12" s="8" customFormat="1" ht="12.75" customHeight="1" thickBot="1" x14ac:dyDescent="0.3">
      <c r="B20" s="13"/>
      <c r="C20" s="11" t="s">
        <v>48</v>
      </c>
      <c r="D20" s="11" t="s">
        <v>48</v>
      </c>
      <c r="E20" s="11" t="s">
        <v>48</v>
      </c>
      <c r="F20" s="11" t="s">
        <v>48</v>
      </c>
      <c r="G20" s="11" t="s">
        <v>48</v>
      </c>
      <c r="H20" s="11" t="s">
        <v>48</v>
      </c>
      <c r="I20" s="13"/>
      <c r="J20" s="13"/>
    </row>
    <row r="21" spans="1:12" s="8" customFormat="1" ht="12.75" customHeight="1" x14ac:dyDescent="0.25">
      <c r="A21" s="8" t="s">
        <v>151</v>
      </c>
      <c r="B21" s="38"/>
      <c r="C21" s="38">
        <v>0</v>
      </c>
      <c r="D21" s="38">
        <f>C27</f>
        <v>174.714</v>
      </c>
      <c r="E21" s="38">
        <f>D27</f>
        <v>165.714</v>
      </c>
      <c r="F21" s="38">
        <f>E27</f>
        <v>296.80899999999997</v>
      </c>
      <c r="G21" s="38">
        <f>F27</f>
        <v>219.80899999999997</v>
      </c>
      <c r="H21" s="38">
        <f>G27</f>
        <v>148.20899999999997</v>
      </c>
    </row>
    <row r="22" spans="1:12" s="8" customFormat="1" ht="12.75" customHeight="1" x14ac:dyDescent="0.25">
      <c r="A22" s="15" t="s">
        <v>177</v>
      </c>
      <c r="B22" s="38"/>
      <c r="C22" s="38">
        <v>179.99700000000001</v>
      </c>
      <c r="D22" s="38">
        <v>0</v>
      </c>
      <c r="E22" s="38">
        <v>179.6</v>
      </c>
      <c r="F22" s="38">
        <v>0</v>
      </c>
      <c r="G22" s="38">
        <v>0</v>
      </c>
      <c r="H22" s="38">
        <v>0</v>
      </c>
    </row>
    <row r="23" spans="1:12" s="8" customFormat="1" ht="12.75" customHeight="1" x14ac:dyDescent="0.25">
      <c r="A23" s="15" t="s">
        <v>171</v>
      </c>
      <c r="B23" s="38"/>
      <c r="C23" s="38">
        <v>-1.2430000000000001</v>
      </c>
      <c r="D23" s="38">
        <v>1.1000000000000001</v>
      </c>
      <c r="E23" s="38">
        <v>11.5</v>
      </c>
      <c r="F23" s="38">
        <v>0.5</v>
      </c>
      <c r="G23" s="38">
        <v>2.9999999999999991</v>
      </c>
      <c r="H23" s="38">
        <v>-22.2</v>
      </c>
    </row>
    <row r="24" spans="1:12" s="8" customFormat="1" ht="12.75" customHeight="1" x14ac:dyDescent="0.25">
      <c r="A24" s="12" t="s">
        <v>172</v>
      </c>
      <c r="B24" s="38"/>
      <c r="C24" s="38"/>
      <c r="D24" s="38"/>
      <c r="E24" s="38"/>
      <c r="F24" s="38"/>
      <c r="G24" s="38"/>
      <c r="H24" s="38"/>
    </row>
    <row r="25" spans="1:12" s="8" customFormat="1" ht="12.75" customHeight="1" x14ac:dyDescent="0.25">
      <c r="A25" s="15" t="s">
        <v>173</v>
      </c>
      <c r="B25" s="38"/>
      <c r="C25" s="38">
        <v>-1.77</v>
      </c>
      <c r="D25" s="38">
        <v>-5.4</v>
      </c>
      <c r="E25" s="38">
        <v>-53.774000000000001</v>
      </c>
      <c r="F25" s="38">
        <v>-59.5</v>
      </c>
      <c r="G25" s="38">
        <v>-61.900000000000006</v>
      </c>
      <c r="H25" s="38">
        <v>-11.2</v>
      </c>
    </row>
    <row r="26" spans="1:12" s="8" customFormat="1" ht="12.75" customHeight="1" x14ac:dyDescent="0.25">
      <c r="A26" s="15" t="s">
        <v>174</v>
      </c>
      <c r="B26" s="38"/>
      <c r="C26" s="38">
        <v>-2.27</v>
      </c>
      <c r="D26" s="38">
        <v>-4.7</v>
      </c>
      <c r="E26" s="38">
        <v>-6.230999999999999</v>
      </c>
      <c r="F26" s="38">
        <v>-18</v>
      </c>
      <c r="G26" s="38">
        <v>-12.7</v>
      </c>
      <c r="H26" s="38">
        <v>-12.3</v>
      </c>
    </row>
    <row r="27" spans="1:12" s="8" customFormat="1" ht="12.75" customHeight="1" thickBot="1" x14ac:dyDescent="0.3">
      <c r="A27" s="12" t="s">
        <v>159</v>
      </c>
      <c r="B27" s="45"/>
      <c r="C27" s="50">
        <f t="shared" ref="C27:H27" si="2">SUM(C21:C26)</f>
        <v>174.714</v>
      </c>
      <c r="D27" s="50">
        <f t="shared" si="2"/>
        <v>165.714</v>
      </c>
      <c r="E27" s="50">
        <f t="shared" si="2"/>
        <v>296.80899999999997</v>
      </c>
      <c r="F27" s="50">
        <f t="shared" si="2"/>
        <v>219.80899999999997</v>
      </c>
      <c r="G27" s="50">
        <f t="shared" si="2"/>
        <v>148.20899999999997</v>
      </c>
      <c r="H27" s="50">
        <f t="shared" si="2"/>
        <v>102.50899999999997</v>
      </c>
    </row>
  </sheetData>
  <mergeCells count="1">
    <mergeCell ref="A18:G18"/>
  </mergeCells>
  <pageMargins left="0.70866141732283472" right="0.70866141732283472" top="0.74803149606299213" bottom="0.74803149606299213" header="0.31496062992125984" footer="0.31496062992125984"/>
  <pageSetup paperSize="9" scale="75" fitToHeight="0" orientation="landscape" r:id="rId1"/>
  <headerFooter>
    <oddFooter>&amp;C&amp;"Arial,Regular"&amp;10Page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25</vt:i4>
      </vt:variant>
    </vt:vector>
  </HeadingPairs>
  <TitlesOfParts>
    <vt:vector size="40" baseType="lpstr">
      <vt:lpstr>Disclaimer</vt:lpstr>
      <vt:lpstr>Group Result</vt:lpstr>
      <vt:lpstr>Advice</vt:lpstr>
      <vt:lpstr>Platforms</vt:lpstr>
      <vt:lpstr>Asset Management</vt:lpstr>
      <vt:lpstr>Corporate</vt:lpstr>
      <vt:lpstr>Disc Ops</vt:lpstr>
      <vt:lpstr>FUMA</vt:lpstr>
      <vt:lpstr>Remediation</vt:lpstr>
      <vt:lpstr>UNPAT</vt:lpstr>
      <vt:lpstr>Balance Sheet</vt:lpstr>
      <vt:lpstr>Cash Flows</vt:lpstr>
      <vt:lpstr>Debt</vt:lpstr>
      <vt:lpstr>Asset Allocation</vt:lpstr>
      <vt:lpstr>Ratios</vt:lpstr>
      <vt:lpstr>Advice!Print_Area</vt:lpstr>
      <vt:lpstr>'Asset Allocation'!Print_Area</vt:lpstr>
      <vt:lpstr>'Asset Management'!Print_Area</vt:lpstr>
      <vt:lpstr>'Balance Sheet'!Print_Area</vt:lpstr>
      <vt:lpstr>'Cash Flows'!Print_Area</vt:lpstr>
      <vt:lpstr>Corporate!Print_Area</vt:lpstr>
      <vt:lpstr>Debt!Print_Area</vt:lpstr>
      <vt:lpstr>'Disc Ops'!Print_Area</vt:lpstr>
      <vt:lpstr>Disclaimer!Print_Area</vt:lpstr>
      <vt:lpstr>FUMA!Print_Area</vt:lpstr>
      <vt:lpstr>'Group Result'!Print_Area</vt:lpstr>
      <vt:lpstr>Platforms!Print_Area</vt:lpstr>
      <vt:lpstr>Ratios!Print_Area</vt:lpstr>
      <vt:lpstr>Remediation!Print_Area</vt:lpstr>
      <vt:lpstr>UNPAT!Print_Area</vt:lpstr>
      <vt:lpstr>Advice!Print_Titles</vt:lpstr>
      <vt:lpstr>'Asset Management'!Print_Titles</vt:lpstr>
      <vt:lpstr>'Balance Sheet'!Print_Titles</vt:lpstr>
      <vt:lpstr>'Cash Flows'!Print_Titles</vt:lpstr>
      <vt:lpstr>'Disc Ops'!Print_Titles</vt:lpstr>
      <vt:lpstr>Disclaimer!Print_Titles</vt:lpstr>
      <vt:lpstr>FUMA!Print_Titles</vt:lpstr>
      <vt:lpstr>'Group Result'!Print_Titles</vt:lpstr>
      <vt:lpstr>Platforms!Print_Titles</vt:lpstr>
      <vt:lpstr>Ratios!Print_Titles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Ravin Wijesuriya</dc:creator>
  <cp:lastModifiedBy>Brenton Kopra</cp:lastModifiedBy>
  <cp:lastPrinted>2023-02-22T13:00:04Z</cp:lastPrinted>
  <dcterms:created xsi:type="dcterms:W3CDTF">2023-02-22T03:44:05Z</dcterms:created>
  <dcterms:modified xsi:type="dcterms:W3CDTF">2023-02-22T22:24:57Z</dcterms:modified>
</cp:coreProperties>
</file>